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521" windowWidth="9720" windowHeight="7215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'Лист1'!$A$1:$G$417</definedName>
  </definedNames>
  <calcPr fullCalcOnLoad="1"/>
</workbook>
</file>

<file path=xl/sharedStrings.xml><?xml version="1.0" encoding="utf-8"?>
<sst xmlns="http://schemas.openxmlformats.org/spreadsheetml/2006/main" count="659" uniqueCount="261">
  <si>
    <t>Показатели</t>
  </si>
  <si>
    <t>прогноз</t>
  </si>
  <si>
    <t>оценка</t>
  </si>
  <si>
    <t>млн.руб</t>
  </si>
  <si>
    <t>в % к пред. году</t>
  </si>
  <si>
    <t>в действующих ценах каждого года</t>
  </si>
  <si>
    <t>-"-</t>
  </si>
  <si>
    <t>тыс.человек</t>
  </si>
  <si>
    <t>в % к пред году</t>
  </si>
  <si>
    <t>единиц</t>
  </si>
  <si>
    <t>млн. руб.</t>
  </si>
  <si>
    <t>%</t>
  </si>
  <si>
    <t xml:space="preserve">Количество малых предприятий -всего </t>
  </si>
  <si>
    <t xml:space="preserve">млн.руб. </t>
  </si>
  <si>
    <t>тыс.руб</t>
  </si>
  <si>
    <t>2007 год</t>
  </si>
  <si>
    <t>руб.</t>
  </si>
  <si>
    <t>Единица измерения</t>
  </si>
  <si>
    <t>2008 год</t>
  </si>
  <si>
    <t>факт</t>
  </si>
  <si>
    <t xml:space="preserve">руб. </t>
  </si>
  <si>
    <t>в % к предыдущему году</t>
  </si>
  <si>
    <t>Реальная заработная плата, всего</t>
  </si>
  <si>
    <t>Среднемесячная начисленная заработная плата, всего</t>
  </si>
  <si>
    <t>тыс.руб.</t>
  </si>
  <si>
    <t>Среднемесячная начисленная заработная плата работающих, всего</t>
  </si>
  <si>
    <t xml:space="preserve">Отгружено товаров собственного производства, выполнено работ, услуг собственными силами (по крупным и средним предприятиям) </t>
  </si>
  <si>
    <t xml:space="preserve">     в том числе по подразделам: "производство пищевых продуктов, включая напитки и табака"</t>
  </si>
  <si>
    <t xml:space="preserve">     "текстильное и швейное производство"</t>
  </si>
  <si>
    <t xml:space="preserve">     "обработка древисины и производства изделий из дерева"</t>
  </si>
  <si>
    <t xml:space="preserve">    " целюлозно - бумажное производство, издательская и полиграфическая деятельность"</t>
  </si>
  <si>
    <t xml:space="preserve">     "производство кокса и нефтепродуктов"</t>
  </si>
  <si>
    <t xml:space="preserve">    " химическое производство"</t>
  </si>
  <si>
    <t xml:space="preserve">     "производство резиновых и пластмассовых изделий"</t>
  </si>
  <si>
    <t xml:space="preserve">     "производство прочих неметалических минеральных продуктов"</t>
  </si>
  <si>
    <t xml:space="preserve">     "металлургическое производство и производство готовых металлических изделий"</t>
  </si>
  <si>
    <t xml:space="preserve">     "производство электрооборудования, электронного и оптического оборудования"</t>
  </si>
  <si>
    <t xml:space="preserve">     "производство транспортных средств и оборудования"</t>
  </si>
  <si>
    <t xml:space="preserve">    " прочие производства"</t>
  </si>
  <si>
    <t xml:space="preserve">     в том числе по подразделам: "производство, передача и рапределение электроэнергии"</t>
  </si>
  <si>
    <t xml:space="preserve">     "производство, передача и распределение пара и горячей воды (тепловой энергии)"</t>
  </si>
  <si>
    <t>I. ОСНОВНЫЕ ЭКОНОМИЧЕСКИЕ ПОКАЗАТЕЛИ</t>
  </si>
  <si>
    <t xml:space="preserve">  добыча полезных ископаемых</t>
  </si>
  <si>
    <t xml:space="preserve">  обрабатывающие производства</t>
  </si>
  <si>
    <t xml:space="preserve">  производство и распределение электроэнергии, газа и воды</t>
  </si>
  <si>
    <t xml:space="preserve">  строительство</t>
  </si>
  <si>
    <r>
      <t xml:space="preserve">  оптовая и розничная торговля, ремонт автотранспортных средств, мотоциклов, бытовых изделий и предметов личного пользования </t>
    </r>
    <r>
      <rPr>
        <b/>
        <sz val="10"/>
        <rFont val="Arial CYR"/>
        <family val="2"/>
      </rPr>
      <t>(торговая наценка)</t>
    </r>
  </si>
  <si>
    <t xml:space="preserve">  транспорт и связь</t>
  </si>
  <si>
    <t xml:space="preserve">  финансовая деятельность </t>
  </si>
  <si>
    <t xml:space="preserve">  образование</t>
  </si>
  <si>
    <t xml:space="preserve">  здравоохранение и предоставление социальных услуг </t>
  </si>
  <si>
    <t xml:space="preserve">  другие виды деятельности </t>
  </si>
  <si>
    <t xml:space="preserve">  Отгружено товаров собственного производства, выполнено работ, услуг собственными силами (по крупным и средним предприятиям) </t>
  </si>
  <si>
    <t xml:space="preserve">  в действующих ценах каждого года</t>
  </si>
  <si>
    <t xml:space="preserve">а)Добыча полезных ископаемых </t>
  </si>
  <si>
    <t>б)Обрабатывающие производства</t>
  </si>
  <si>
    <t xml:space="preserve">     в действующих ценах каждого года</t>
  </si>
  <si>
    <t xml:space="preserve">в) Производство и распределение электроэнергии, газа и воды </t>
  </si>
  <si>
    <t>II. МАЛОЕ ПРЕДПРИНИМАТЕЛЬСТВО</t>
  </si>
  <si>
    <t>Среднесписочная численность работников (без внешних совместителей) по малым предприятиям, всего</t>
  </si>
  <si>
    <t>III. ИНВЕСТИЦИИ ( капитальные вложения)</t>
  </si>
  <si>
    <t xml:space="preserve">  в сопоставимых ценах</t>
  </si>
  <si>
    <t xml:space="preserve">  в том числе по видам деятельности:</t>
  </si>
  <si>
    <t xml:space="preserve"> IV. ФИНАНСЫ </t>
  </si>
  <si>
    <t xml:space="preserve">  сельское хозяйство, охота и лесное хозяйства</t>
  </si>
  <si>
    <t xml:space="preserve">  оптовая и розничная торговля, ремонт автотранспортных средств, мотоциклов, бытовых изделий и предметов личного пользования  </t>
  </si>
  <si>
    <t xml:space="preserve">  банки</t>
  </si>
  <si>
    <t xml:space="preserve">  другие виды деятельности</t>
  </si>
  <si>
    <t xml:space="preserve">V. ДЕНЕЖНЫЕ ДОХОДЫ И РАСХОДЫ НАСЕЛЕНИЯ </t>
  </si>
  <si>
    <t xml:space="preserve">  Доходы - всего</t>
  </si>
  <si>
    <t xml:space="preserve">  Расходы и сбережения - всего</t>
  </si>
  <si>
    <t xml:space="preserve">  Превышение доходов над расходами</t>
  </si>
  <si>
    <t xml:space="preserve">  финансовая деятельность</t>
  </si>
  <si>
    <t xml:space="preserve">  здравоохранение и предоставление социальных услуг</t>
  </si>
  <si>
    <t xml:space="preserve">  Розничный товарооборот (во всех каналах реализации)</t>
  </si>
  <si>
    <t xml:space="preserve">  Оборот общественного питания</t>
  </si>
  <si>
    <t>VII. ПОТРЕБИТЕЛЬСКИЙ РЫНОК</t>
  </si>
  <si>
    <t>VIII. ОСНОВНЫЕ ПОКАЗАТЕЛИ РАЗВИТИЯ ОТРАСЛЕЙ СОЦИАЛЬНОЙ СФЕРЫ</t>
  </si>
  <si>
    <t>2009 год</t>
  </si>
  <si>
    <t xml:space="preserve"> Индекс производства</t>
  </si>
  <si>
    <t>Фонд заработной платы работающих на малых предприятиях, всего</t>
  </si>
  <si>
    <r>
      <t xml:space="preserve">     </t>
    </r>
    <r>
      <rPr>
        <i/>
        <sz val="10"/>
        <rFont val="Arial Cyr"/>
        <family val="2"/>
      </rPr>
      <t>"производство кожи, изделий из кожи и производство обуви"</t>
    </r>
  </si>
  <si>
    <t xml:space="preserve">     "производство машин и оборудования без производства оружия и боеприпасов"</t>
  </si>
  <si>
    <t xml:space="preserve">  Уровень реально располагаемых денежных доходов населения (скорректированных на индекс потребительских цен) </t>
  </si>
  <si>
    <t xml:space="preserve">  сельское хозяйство, охота и лесное хозяйство</t>
  </si>
  <si>
    <t xml:space="preserve"> Реальная заработная плата (скорректированная на индекс потребительских цен), всего </t>
  </si>
  <si>
    <t>Обеспеченность:</t>
  </si>
  <si>
    <t>больничными койками</t>
  </si>
  <si>
    <t xml:space="preserve"> коек на 10 тыс.жителей</t>
  </si>
  <si>
    <t xml:space="preserve"> коек на 10 тыс. населения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</si>
  <si>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</si>
  <si>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</si>
  <si>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</si>
  <si>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</si>
  <si>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</si>
  <si>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</si>
  <si>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 том числе: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</si>
  <si>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</si>
  <si>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</si>
  <si>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</si>
  <si>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</si>
  <si>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</si>
  <si>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</si>
  <si>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</si>
  <si>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 xml:space="preserve"> Обеспеченность:</t>
  </si>
  <si>
    <t>темп роста в сопоставимых ценах</t>
  </si>
  <si>
    <t xml:space="preserve">  темп роста в сопоставимых ценах</t>
  </si>
  <si>
    <t xml:space="preserve">     темп роста в сопоставимых ценах</t>
  </si>
  <si>
    <t>- интенсивного лечения</t>
  </si>
  <si>
    <t xml:space="preserve">- восстановительного лечения </t>
  </si>
  <si>
    <t>- для лечения хронических больных</t>
  </si>
  <si>
    <t>- в стационарных учреждениях социального обслуживания для престарелых и инвалидов (взрослых и детей)</t>
  </si>
  <si>
    <t>- стационаров дневного пребывания</t>
  </si>
  <si>
    <t>в том числе койками:</t>
  </si>
  <si>
    <t>2010 год</t>
  </si>
  <si>
    <t>Справочно:</t>
  </si>
  <si>
    <t>Площадь торгового зала</t>
  </si>
  <si>
    <t>кв. м.</t>
  </si>
  <si>
    <t>Количество торговых мест</t>
  </si>
  <si>
    <t>шт.</t>
  </si>
  <si>
    <t>Количество работников, включая индивидуального предпринимателя</t>
  </si>
  <si>
    <t>чел.</t>
  </si>
  <si>
    <t xml:space="preserve">      добыча полезных ископаемых</t>
  </si>
  <si>
    <t xml:space="preserve">      в т.ч. по видам экономической деятельности:</t>
  </si>
  <si>
    <t xml:space="preserve">      обрабатывающие производства</t>
  </si>
  <si>
    <t xml:space="preserve">      производство и распределение электроэнергии, газа и воды</t>
  </si>
  <si>
    <t xml:space="preserve">      строительство</t>
  </si>
  <si>
    <t xml:space="preserve">      оптовая и розничная торговля; ремонт автотранспортных средств, мотоциклов, бытовых изделий и предметов личного пользования</t>
  </si>
  <si>
    <t>Оборот малых предприятий - всего</t>
  </si>
  <si>
    <t xml:space="preserve">       Индекс производства</t>
  </si>
  <si>
    <t>Доходы на душу населения</t>
  </si>
  <si>
    <r>
      <t xml:space="preserve">Из общего объема фонда оплаты труда </t>
    </r>
    <r>
      <rPr>
        <i/>
        <sz val="10"/>
        <rFont val="Arial Cyr"/>
        <family val="2"/>
      </rPr>
      <t>фонд бюджетников</t>
    </r>
    <r>
      <rPr>
        <sz val="10"/>
        <rFont val="Arial Cyr"/>
        <family val="0"/>
      </rPr>
      <t>, финансируемых из бюджетов всех уровней</t>
    </r>
  </si>
  <si>
    <t xml:space="preserve">  Амортизационные отчисления</t>
  </si>
  <si>
    <t>VI. ФOНД ОПЛАТЫ ТРУДА, всего</t>
  </si>
  <si>
    <t>Численность работников по  территории, формирующих фонд оплаты труда, всего</t>
  </si>
  <si>
    <r>
      <t>Из общей численности работников, формирующих фонд оплаты труда, численность</t>
    </r>
    <r>
      <rPr>
        <i/>
        <sz val="10"/>
        <rFont val="Arial Cyr"/>
        <family val="2"/>
      </rPr>
      <t xml:space="preserve"> бюджетников</t>
    </r>
    <r>
      <rPr>
        <sz val="10"/>
        <rFont val="Arial Cyr"/>
        <family val="0"/>
      </rPr>
      <t>, финансируемых из бюджетов всех уровней</t>
    </r>
  </si>
  <si>
    <t xml:space="preserve">  Инвестиции в основной капитал по территории за счет всех источников финансирования с учетом инвестиционных проектов формы 3 (по крупным и средним предприятиям) - всего</t>
  </si>
  <si>
    <t>Основные фонды</t>
  </si>
  <si>
    <t xml:space="preserve">Ввод в действие новых основных фондов (в действующих ценах каждого года ) </t>
  </si>
  <si>
    <t>Выбытие основных фондов по полной учетной балансовой стоимости</t>
  </si>
  <si>
    <t>Выбытие основных фондов по остаточной стоимости</t>
  </si>
  <si>
    <t>Ликвидация основных фондов по полной учетной балансовой стоимости</t>
  </si>
  <si>
    <t>Стоимость основных фондов на конец года по полной учетной балансовой стоимости в действующих ценах каждого года</t>
  </si>
  <si>
    <t>Остаточная стоимость основных средств в действующих ценах на конец года</t>
  </si>
  <si>
    <t>Объем работ, выполненных по виду деятельности «строительство» всеми предприятиями и организациями</t>
  </si>
  <si>
    <t>в сопоставимых ценах</t>
  </si>
  <si>
    <t xml:space="preserve">Ввод мощностей ( за счет всех источников финансирования) </t>
  </si>
  <si>
    <t>тыс.кв.м</t>
  </si>
  <si>
    <t xml:space="preserve">  Жилищное строительство</t>
  </si>
  <si>
    <t xml:space="preserve">      Ввод жилых домов</t>
  </si>
  <si>
    <t xml:space="preserve">  1. Образование</t>
  </si>
  <si>
    <t xml:space="preserve">  Численность детей в учреждениях дошкольного образования</t>
  </si>
  <si>
    <t>человек</t>
  </si>
  <si>
    <t xml:space="preserve">  Число мест в дошкольных учреждениях</t>
  </si>
  <si>
    <t>мест</t>
  </si>
  <si>
    <t xml:space="preserve">  Число детей дошкольного возраста:</t>
  </si>
  <si>
    <t>от 0 до 1 года</t>
  </si>
  <si>
    <t>от 1 года до 7 лет</t>
  </si>
  <si>
    <t xml:space="preserve">  Численность учащихся в учреждениях: </t>
  </si>
  <si>
    <t xml:space="preserve">   - общеобразовательных</t>
  </si>
  <si>
    <t xml:space="preserve">   - начального профессионального образования</t>
  </si>
  <si>
    <t xml:space="preserve">   - среднего профессионального образования</t>
  </si>
  <si>
    <t xml:space="preserve">   - 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</si>
  <si>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</si>
  <si>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</si>
  <si>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 Число мест в  учреждениях общего образования</t>
  </si>
  <si>
    <t xml:space="preserve">  Ввод мощностей в образовании:</t>
  </si>
  <si>
    <t xml:space="preserve">  новое строительство</t>
  </si>
  <si>
    <t>единиц/мест</t>
  </si>
  <si>
    <t xml:space="preserve">  перепрофилирование</t>
  </si>
  <si>
    <t xml:space="preserve">    в том числе:</t>
  </si>
  <si>
    <t xml:space="preserve">    ДОУ</t>
  </si>
  <si>
    <t xml:space="preserve">    общеобразовательные учреждения</t>
  </si>
  <si>
    <t xml:space="preserve">    прочие учреждения (расшифровать)</t>
  </si>
  <si>
    <t xml:space="preserve">  Выбытие мощностей в образовании:</t>
  </si>
  <si>
    <t xml:space="preserve">  закрытие</t>
  </si>
  <si>
    <t xml:space="preserve">  2. Здравоохранение</t>
  </si>
  <si>
    <t xml:space="preserve">  Число стационарных учреждений, всего</t>
  </si>
  <si>
    <t xml:space="preserve">  Число фактически развернутых стационарных коек (на конец отчетного года)</t>
  </si>
  <si>
    <t>коек</t>
  </si>
  <si>
    <t xml:space="preserve">  Число амбулаторно-поликлинических учреждений (самостоятельные поликлиники, врачебные амбулатории)</t>
  </si>
  <si>
    <t xml:space="preserve">  Число посещений врачей, включая профилактические</t>
  </si>
  <si>
    <t>посещений в смену</t>
  </si>
  <si>
    <t xml:space="preserve">  Число фельдшерско-акушерских пунктов (ФАП)</t>
  </si>
  <si>
    <t xml:space="preserve">  Число посещений на фельдшерско-акушерских пунктах (ФАП)</t>
  </si>
  <si>
    <t>посещений за год</t>
  </si>
  <si>
    <t xml:space="preserve">  Число мест в дневном стационаре, всего</t>
  </si>
  <si>
    <t xml:space="preserve">     в том числе</t>
  </si>
  <si>
    <t xml:space="preserve">     дневной стационар при больничном учреждении</t>
  </si>
  <si>
    <t xml:space="preserve">     дневной стационар при амбулаторно-поликлиническом учреждении</t>
  </si>
  <si>
    <t xml:space="preserve">     стационар на дому</t>
  </si>
  <si>
    <t xml:space="preserve">  Численность:</t>
  </si>
  <si>
    <t xml:space="preserve">     врачей</t>
  </si>
  <si>
    <t xml:space="preserve">     средних медицинских работников</t>
  </si>
  <si>
    <t xml:space="preserve">  Ввод мощностей в здравоохранении:</t>
  </si>
  <si>
    <t xml:space="preserve">    стационарных учреждений</t>
  </si>
  <si>
    <t xml:space="preserve">    амбулаторных учреждений</t>
  </si>
  <si>
    <t xml:space="preserve">    прочих учреждений (расшифровать)</t>
  </si>
  <si>
    <t xml:space="preserve">  Выбытие мощностей в здравоохранении: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</si>
  <si>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</si>
  <si>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</si>
  <si>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 xml:space="preserve">  3. Культура и искусство</t>
  </si>
  <si>
    <t xml:space="preserve">  Библиотеки</t>
  </si>
  <si>
    <t xml:space="preserve">  Музеи</t>
  </si>
  <si>
    <t xml:space="preserve">  Клубные учреждения и дома культуры</t>
  </si>
  <si>
    <t xml:space="preserve">  Киноустановки</t>
  </si>
  <si>
    <t xml:space="preserve">  Ввод мощностей в культуре:</t>
  </si>
  <si>
    <t xml:space="preserve">    новое строительство</t>
  </si>
  <si>
    <t xml:space="preserve">    перепрофилирование</t>
  </si>
  <si>
    <t xml:space="preserve">    в том числе (расшифровать)</t>
  </si>
  <si>
    <t xml:space="preserve">  Выбытие мощностей в культуре:</t>
  </si>
  <si>
    <t xml:space="preserve">    закрытие</t>
  </si>
  <si>
    <t xml:space="preserve">  4. Физическая культура и спорт</t>
  </si>
  <si>
    <t xml:space="preserve">  Стадионы с трибунами</t>
  </si>
  <si>
    <t xml:space="preserve">  Спортивные залы</t>
  </si>
  <si>
    <t xml:space="preserve">    в том числе</t>
  </si>
  <si>
    <t xml:space="preserve">    в общеобразовательных учреждениях</t>
  </si>
  <si>
    <t xml:space="preserve">  Плосткостные спортивные сооружения</t>
  </si>
  <si>
    <t xml:space="preserve">  Плавательные бассейны</t>
  </si>
  <si>
    <t xml:space="preserve">  Единовременная пропускная способность</t>
  </si>
  <si>
    <t xml:space="preserve">  Тренерско-преподавательский состав</t>
  </si>
  <si>
    <t xml:space="preserve">  Ввод мощностей</t>
  </si>
  <si>
    <t xml:space="preserve">  Выбытие мощностей</t>
  </si>
  <si>
    <t xml:space="preserve">  5. Социальная защита населения</t>
  </si>
  <si>
    <t xml:space="preserve">  Число домов-интернатов для престарелых и инвалидов</t>
  </si>
  <si>
    <t xml:space="preserve">  Число детских домов-интернатов для умственно-отсталых</t>
  </si>
  <si>
    <t xml:space="preserve">  Число центров социальной помощи семье, женщинам и детям</t>
  </si>
  <si>
    <t xml:space="preserve">   мест в стационаре</t>
  </si>
  <si>
    <t xml:space="preserve">   дневное пребывание</t>
  </si>
  <si>
    <t xml:space="preserve">  Число  социально-реабилитационных центров для несовершеннолетних</t>
  </si>
  <si>
    <t xml:space="preserve">  Число реабилитационных центров для детей и подростков с ограниченными возможностями</t>
  </si>
  <si>
    <t xml:space="preserve">  Число социальных приютов для детей и подростков</t>
  </si>
  <si>
    <t xml:space="preserve">  Численность пенсионеров, стоящих на учете в органах социальной защиты</t>
  </si>
  <si>
    <t>тыс.чел.</t>
  </si>
  <si>
    <t xml:space="preserve">  Ввод мощностей по социальной защите:</t>
  </si>
  <si>
    <t>Выбытие мощностей по социальной защите:</t>
  </si>
  <si>
    <t>закрытие</t>
  </si>
  <si>
    <t>2011 год</t>
  </si>
  <si>
    <t>Среднегодовая стоимость основных средств в действующих ценах каждого года</t>
  </si>
  <si>
    <t xml:space="preserve">  Сумма прибыли прибыльных организаций (по полному кругу) - всего</t>
  </si>
  <si>
    <t>Убыток убыточных организаций - всего</t>
  </si>
  <si>
    <t xml:space="preserve">  Сальдо (прибыль минус убыток) - всего</t>
  </si>
  <si>
    <t xml:space="preserve">  Объем платных услуг населению (по крупным и средним организациям)</t>
  </si>
  <si>
    <t xml:space="preserve">  Объем платных услуг населению (по полному кругу организаций с учетом неформальной деятельности)</t>
  </si>
  <si>
    <t>в т.ч. фонд бюджетников, финансируемых из консолидированного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</si>
  <si>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</si>
  <si>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в том числе (комплексный центр социального </t>
  </si>
  <si>
    <t>обслуживания населения)</t>
  </si>
  <si>
    <t xml:space="preserve">    социальной помощи семье, женщинам и детям</t>
  </si>
  <si>
    <t xml:space="preserve">  перепрофилирование д/сада в центр</t>
  </si>
  <si>
    <t xml:space="preserve">перепрофилирование центра </t>
  </si>
  <si>
    <t>1/140</t>
  </si>
  <si>
    <t>1/40</t>
  </si>
  <si>
    <t>1/100</t>
  </si>
  <si>
    <t xml:space="preserve">  сельское хозяйство охота и лесное хозяйство</t>
  </si>
  <si>
    <t xml:space="preserve">      из них  по видам экономической деятельности:</t>
  </si>
  <si>
    <t>I.1.Отгружено товаров собственного производства, выполнено работ, услуг собственными силами (без НДС и акцизов) (по крупным и средним организациям)</t>
  </si>
  <si>
    <t>I.2. ПОКАЗАТЕЛИ ДОБЫВАЮЩИХ, ОБРАБАТЫВАЮЩИХ ПРОИЗВОДСТВ И ЭНЕРГЕТИКИ</t>
  </si>
  <si>
    <t>Прогноз социально-экономического развития по г. Сарову на 2009 год и на период до 2011года</t>
  </si>
  <si>
    <t>Утвержден решением</t>
  </si>
  <si>
    <t>городской Думы от 27.11.2008 №108/4-гд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</si>
</sst>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;\-#,##0&quot; р.&quot;"/>
    <numFmt numFmtId="165" formatCode="#,##0&quot; р.&quot;;[Red]\-#,##0&quot; р.&quot;"/>
    <numFmt numFmtId="166" formatCode="#,##0.00&quot; р.&quot;;\-#,##0.00&quot; р.&quot;"/>
    <numFmt numFmtId="167" formatCode="#,##0.00&quot; р.&quot;;[Red]\-#,##0.00&quot; р.&quot;"/>
    <numFmt numFmtId="168" formatCode="_-* #,##0&quot; р.&quot;_-;\-* #,##0&quot; р.&quot;_-;_-* &quot;-&quot;&quot; р.&quot;_-;_-@_-"/>
    <numFmt numFmtId="169" formatCode="_-* #,##0_ _р_._-;\-* #,##0_ _р_._-;_-* &quot;-&quot;_ _р_._-;_-@_-"/>
    <numFmt numFmtId="170" formatCode="_-* #,##0.00&quot; р.&quot;_-;\-* #,##0.00&quot; р.&quot;_-;_-* &quot;-&quot;??&quot; р.&quot;_-;_-@_-"/>
    <numFmt numFmtId="171" formatCode="_-* #,##0.00_ _р_._-;\-* #,##0.00_ _р_._-;_-* &quot;-&quot;??_ 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0"/>
    <numFmt numFmtId="178" formatCode="0.00000000"/>
    <numFmt numFmtId="179" formatCode="0.000000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0" fillId="2" borderId="1" xfId="0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Continuous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3" borderId="1" xfId="0" applyFont="1" applyFill="1" applyBorder="1" applyAlignment="1" applyProtection="1">
      <alignment horizontal="left" vertical="center" wrapText="1" indent="1"/>
      <protection/>
    </xf>
    <xf numFmtId="0" fontId="8" fillId="3" borderId="1" xfId="0" applyFont="1" applyFill="1" applyBorder="1" applyAlignment="1" applyProtection="1">
      <alignment horizontal="left" vertical="center" wrapText="1" indent="1"/>
      <protection/>
    </xf>
    <xf numFmtId="0" fontId="9" fillId="3" borderId="1" xfId="0" applyFont="1" applyFill="1" applyBorder="1" applyAlignment="1" applyProtection="1">
      <alignment horizontal="left" vertical="center" wrapText="1" indent="2"/>
      <protection/>
    </xf>
    <xf numFmtId="49" fontId="9" fillId="3" borderId="1" xfId="0" applyNumberFormat="1" applyFont="1" applyFill="1" applyBorder="1" applyAlignment="1" applyProtection="1">
      <alignment horizontal="left" vertical="center" wrapText="1" indent="3"/>
      <protection/>
    </xf>
    <xf numFmtId="0" fontId="9" fillId="3" borderId="1" xfId="0" applyFont="1" applyFill="1" applyBorder="1" applyAlignment="1" applyProtection="1">
      <alignment horizontal="left" vertical="center" wrapText="1" indent="3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73" fontId="0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72" fontId="2" fillId="0" borderId="1" xfId="0" applyNumberFormat="1" applyFont="1" applyBorder="1" applyAlignment="1" applyProtection="1">
      <alignment horizontal="center" vertical="center"/>
      <protection locked="0"/>
    </xf>
    <xf numFmtId="17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Continuous" vertical="top" wrapText="1"/>
    </xf>
    <xf numFmtId="0" fontId="0" fillId="0" borderId="0" xfId="0" applyBorder="1" applyAlignment="1">
      <alignment/>
    </xf>
    <xf numFmtId="49" fontId="4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7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72" fontId="0" fillId="0" borderId="1" xfId="0" applyNumberFormat="1" applyFont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172" fontId="0" fillId="0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4"/>
  <sheetViews>
    <sheetView tabSelected="1" view="pageBreakPreview" zoomScale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G2"/>
    </sheetView>
  </sheetViews>
  <sheetFormatPr defaultColWidth="9.00390625" defaultRowHeight="12.75"/>
  <cols>
    <col min="1" max="1" width="48.25390625" style="2" customWidth="1"/>
    <col min="2" max="2" width="18.625" style="7" customWidth="1"/>
    <col min="3" max="4" width="11.00390625" style="1" customWidth="1"/>
    <col min="5" max="7" width="10.75390625" style="1" customWidth="1"/>
  </cols>
  <sheetData>
    <row r="1" spans="1:7" ht="12.75">
      <c r="A1" s="131" t="s">
        <v>259</v>
      </c>
      <c r="B1" s="131"/>
      <c r="C1" s="131"/>
      <c r="D1" s="131"/>
      <c r="E1" s="131"/>
      <c r="F1" s="131"/>
      <c r="G1" s="131"/>
    </row>
    <row r="2" spans="1:7" ht="20.25" customHeight="1">
      <c r="A2" s="131" t="s">
        <v>260</v>
      </c>
      <c r="B2" s="131"/>
      <c r="C2" s="131"/>
      <c r="D2" s="131"/>
      <c r="E2" s="131"/>
      <c r="F2" s="131"/>
      <c r="G2" s="131"/>
    </row>
    <row r="3" spans="1:7" ht="15" customHeight="1">
      <c r="A3" s="130" t="s">
        <v>258</v>
      </c>
      <c r="B3" s="130"/>
      <c r="C3" s="130"/>
      <c r="D3" s="130"/>
      <c r="E3" s="130"/>
      <c r="F3" s="130"/>
      <c r="G3" s="130"/>
    </row>
    <row r="4" spans="2:8" ht="7.5" customHeight="1">
      <c r="B4" s="128"/>
      <c r="C4" s="128"/>
      <c r="D4" s="128"/>
      <c r="E4" s="128"/>
      <c r="F4" s="128"/>
      <c r="G4" s="128"/>
      <c r="H4" s="129"/>
    </row>
    <row r="5" spans="1:7" ht="12.75">
      <c r="A5" s="126" t="s">
        <v>0</v>
      </c>
      <c r="B5" s="126" t="s">
        <v>17</v>
      </c>
      <c r="C5" s="22" t="s">
        <v>19</v>
      </c>
      <c r="D5" s="23" t="s">
        <v>2</v>
      </c>
      <c r="E5" s="22" t="s">
        <v>1</v>
      </c>
      <c r="F5" s="22"/>
      <c r="G5" s="22"/>
    </row>
    <row r="6" spans="1:7" ht="12.75">
      <c r="A6" s="127"/>
      <c r="B6" s="127"/>
      <c r="C6" s="23" t="s">
        <v>15</v>
      </c>
      <c r="D6" s="23" t="s">
        <v>18</v>
      </c>
      <c r="E6" s="23" t="s">
        <v>78</v>
      </c>
      <c r="F6" s="23" t="s">
        <v>114</v>
      </c>
      <c r="G6" s="23" t="s">
        <v>237</v>
      </c>
    </row>
    <row r="7" spans="1:7" ht="12.75">
      <c r="A7" s="24" t="s">
        <v>41</v>
      </c>
      <c r="B7" s="12"/>
      <c r="C7" s="25"/>
      <c r="D7" s="25"/>
      <c r="E7" s="25"/>
      <c r="F7" s="26"/>
      <c r="G7" s="26"/>
    </row>
    <row r="8" spans="1:7" ht="12.75">
      <c r="A8" s="28"/>
      <c r="B8" s="12"/>
      <c r="C8" s="67"/>
      <c r="D8" s="67"/>
      <c r="E8" s="67"/>
      <c r="F8" s="67"/>
      <c r="G8" s="67"/>
    </row>
    <row r="9" spans="1:7" ht="51">
      <c r="A9" s="24" t="s">
        <v>256</v>
      </c>
      <c r="B9" s="12" t="s">
        <v>3</v>
      </c>
      <c r="C9" s="87">
        <v>13584.8</v>
      </c>
      <c r="D9" s="100">
        <v>16082.1</v>
      </c>
      <c r="E9" s="100">
        <v>18545.4</v>
      </c>
      <c r="F9" s="100">
        <v>21692.5</v>
      </c>
      <c r="G9" s="100">
        <v>24695.8</v>
      </c>
    </row>
    <row r="10" spans="1:7" ht="12.75">
      <c r="A10" s="5" t="s">
        <v>106</v>
      </c>
      <c r="B10" s="3" t="s">
        <v>4</v>
      </c>
      <c r="C10" s="25"/>
      <c r="D10" s="67">
        <f>D9/1.13/C9*100</f>
        <v>104.76375730709961</v>
      </c>
      <c r="E10" s="67">
        <f>E9/1.1/D9*100</f>
        <v>104.83366317492457</v>
      </c>
      <c r="F10" s="67">
        <v>106.2</v>
      </c>
      <c r="G10" s="67">
        <f>G9/1.076/F9*100</f>
        <v>105.80378927669739</v>
      </c>
    </row>
    <row r="11" spans="1:7" ht="15" customHeight="1">
      <c r="A11" s="27" t="s">
        <v>254</v>
      </c>
      <c r="B11" s="12" t="s">
        <v>3</v>
      </c>
      <c r="C11" s="25">
        <v>16.5</v>
      </c>
      <c r="D11" s="107">
        <v>19.1</v>
      </c>
      <c r="E11" s="107">
        <v>21.1</v>
      </c>
      <c r="F11" s="107">
        <v>24.4</v>
      </c>
      <c r="G11" s="107">
        <v>28.5</v>
      </c>
    </row>
    <row r="12" spans="1:7" ht="12.75">
      <c r="A12" s="5" t="s">
        <v>106</v>
      </c>
      <c r="B12" s="3" t="s">
        <v>4</v>
      </c>
      <c r="C12" s="25"/>
      <c r="D12" s="125">
        <f>D11/1.09/C11*100</f>
        <v>106.19961078676674</v>
      </c>
      <c r="E12" s="107">
        <f>E11/1.061/D11*100</f>
        <v>104.11989084682534</v>
      </c>
      <c r="F12" s="107">
        <f>F11/1.056/E11*100</f>
        <v>109.50739623725403</v>
      </c>
      <c r="G12" s="107">
        <f>G11/1.053/F11*100</f>
        <v>110.92429125216012</v>
      </c>
    </row>
    <row r="13" spans="1:7" ht="12.75">
      <c r="A13" s="28" t="s">
        <v>42</v>
      </c>
      <c r="B13" s="13" t="s">
        <v>3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ht="12.75">
      <c r="A14" s="8" t="s">
        <v>106</v>
      </c>
      <c r="B14" s="13" t="s">
        <v>4</v>
      </c>
      <c r="C14" s="25"/>
      <c r="D14" s="25"/>
      <c r="E14" s="25"/>
      <c r="F14" s="25"/>
      <c r="G14" s="25"/>
    </row>
    <row r="15" spans="1:7" ht="12.75">
      <c r="A15" s="28" t="s">
        <v>43</v>
      </c>
      <c r="B15" s="13" t="s">
        <v>3</v>
      </c>
      <c r="C15" s="79">
        <v>1290.3</v>
      </c>
      <c r="D15" s="67">
        <v>1514.9911120000002</v>
      </c>
      <c r="E15" s="67">
        <v>1780.2</v>
      </c>
      <c r="F15" s="67">
        <v>2089.9</v>
      </c>
      <c r="G15" s="67">
        <v>2444.4</v>
      </c>
    </row>
    <row r="16" spans="1:7" ht="12.75">
      <c r="A16" s="8" t="s">
        <v>106</v>
      </c>
      <c r="B16" s="13" t="s">
        <v>4</v>
      </c>
      <c r="C16" s="25"/>
      <c r="D16" s="67">
        <v>107.7191430483061</v>
      </c>
      <c r="E16" s="67">
        <v>107.8278934952693</v>
      </c>
      <c r="F16" s="67">
        <v>107.25696679701637</v>
      </c>
      <c r="G16" s="67">
        <v>106.649516040268</v>
      </c>
    </row>
    <row r="17" spans="1:7" ht="25.5">
      <c r="A17" s="27" t="s">
        <v>44</v>
      </c>
      <c r="B17" s="13" t="s">
        <v>3</v>
      </c>
      <c r="C17" s="30">
        <v>918.6</v>
      </c>
      <c r="D17" s="78">
        <v>1081.1</v>
      </c>
      <c r="E17" s="78">
        <v>1266.6</v>
      </c>
      <c r="F17" s="78">
        <v>1478.8</v>
      </c>
      <c r="G17" s="78">
        <v>1719.1</v>
      </c>
    </row>
    <row r="18" spans="1:7" ht="12.75">
      <c r="A18" s="8" t="s">
        <v>106</v>
      </c>
      <c r="B18" s="13" t="s">
        <v>4</v>
      </c>
      <c r="C18" s="30"/>
      <c r="D18" s="78">
        <v>104.1</v>
      </c>
      <c r="E18" s="78">
        <v>106.5</v>
      </c>
      <c r="F18" s="78">
        <v>108</v>
      </c>
      <c r="G18" s="78">
        <v>108</v>
      </c>
    </row>
    <row r="19" spans="1:7" ht="12.75">
      <c r="A19" s="29" t="s">
        <v>45</v>
      </c>
      <c r="B19" s="3" t="s">
        <v>3</v>
      </c>
      <c r="C19" s="92">
        <v>686.6</v>
      </c>
      <c r="D19" s="104">
        <f>C19*1.155*1.08</f>
        <v>856.4648400000001</v>
      </c>
      <c r="E19" s="104">
        <f>D19*1.103*1.08</f>
        <v>1020.2551760016003</v>
      </c>
      <c r="F19" s="104">
        <f>E19*1.085*1.08</f>
        <v>1195.5350152386752</v>
      </c>
      <c r="G19" s="104">
        <f>F19*1.081*1.08</f>
        <v>1395.7632195908486</v>
      </c>
    </row>
    <row r="20" spans="1:7" ht="12.75">
      <c r="A20" s="5" t="s">
        <v>106</v>
      </c>
      <c r="B20" s="3" t="s">
        <v>4</v>
      </c>
      <c r="C20" s="31"/>
      <c r="D20" s="77">
        <v>110.3</v>
      </c>
      <c r="E20" s="77">
        <v>108.3</v>
      </c>
      <c r="F20" s="77">
        <v>108.5</v>
      </c>
      <c r="G20" s="77">
        <v>108.5</v>
      </c>
    </row>
    <row r="21" spans="1:7" ht="51">
      <c r="A21" s="29" t="s">
        <v>46</v>
      </c>
      <c r="B21" s="3" t="s">
        <v>3</v>
      </c>
      <c r="C21" s="31">
        <v>36.5</v>
      </c>
      <c r="D21" s="77">
        <f>C21*1.13*1.1</f>
        <v>45.3695</v>
      </c>
      <c r="E21" s="77">
        <f>D21*1.1*1.07</f>
        <v>53.39990150000001</v>
      </c>
      <c r="F21" s="77">
        <f>E21*1.081*1.07</f>
        <v>61.766064068005015</v>
      </c>
      <c r="G21" s="77">
        <v>71.3</v>
      </c>
    </row>
    <row r="22" spans="1:7" ht="12.75">
      <c r="A22" s="5" t="s">
        <v>106</v>
      </c>
      <c r="B22" s="3" t="s">
        <v>4</v>
      </c>
      <c r="C22" s="31"/>
      <c r="D22" s="77">
        <v>110.1</v>
      </c>
      <c r="E22" s="77">
        <v>106.9</v>
      </c>
      <c r="F22" s="77">
        <v>107.1</v>
      </c>
      <c r="G22" s="77">
        <v>107.2</v>
      </c>
    </row>
    <row r="23" spans="1:7" ht="12.75">
      <c r="A23" s="29" t="s">
        <v>47</v>
      </c>
      <c r="B23" s="3" t="s">
        <v>3</v>
      </c>
      <c r="C23" s="31">
        <v>428.4</v>
      </c>
      <c r="D23" s="74">
        <f>C23*1.16*1.1</f>
        <v>546.6384</v>
      </c>
      <c r="E23" s="74">
        <f>D23*1.07*1.105</f>
        <v>646.3179122400002</v>
      </c>
      <c r="F23" s="74">
        <f>E23*1.07*1.107</f>
        <v>765.5571038691578</v>
      </c>
      <c r="G23" s="74">
        <f>F23*1.07*1.105</f>
        <v>905.1564417596987</v>
      </c>
    </row>
    <row r="24" spans="1:7" ht="12.75">
      <c r="A24" s="5" t="s">
        <v>106</v>
      </c>
      <c r="B24" s="3" t="s">
        <v>4</v>
      </c>
      <c r="C24" s="31"/>
      <c r="D24" s="77">
        <v>113</v>
      </c>
      <c r="E24" s="77">
        <v>107.4</v>
      </c>
      <c r="F24" s="77">
        <v>109.7</v>
      </c>
      <c r="G24" s="77">
        <v>109.8</v>
      </c>
    </row>
    <row r="25" spans="1:7" ht="12.75">
      <c r="A25" s="9" t="s">
        <v>48</v>
      </c>
      <c r="B25" s="3" t="s">
        <v>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12.75">
      <c r="A26" s="5" t="s">
        <v>106</v>
      </c>
      <c r="B26" s="3" t="s">
        <v>4</v>
      </c>
      <c r="C26" s="31"/>
      <c r="D26" s="31"/>
      <c r="E26" s="31"/>
      <c r="F26" s="31"/>
      <c r="G26" s="31"/>
    </row>
    <row r="27" spans="1:7" ht="12.75">
      <c r="A27" s="9" t="s">
        <v>49</v>
      </c>
      <c r="B27" s="3" t="s">
        <v>3</v>
      </c>
      <c r="C27" s="31">
        <v>128.8</v>
      </c>
      <c r="D27" s="74">
        <f>C27*1.16*1.1</f>
        <v>164.34880000000004</v>
      </c>
      <c r="E27" s="74">
        <f>D27*1.07*1.105</f>
        <v>194.31780368000005</v>
      </c>
      <c r="F27" s="74">
        <f>E27*1.07*1.107</f>
        <v>230.16749528092328</v>
      </c>
      <c r="G27" s="74">
        <f>F27*1.07*1.105</f>
        <v>272.1385380453997</v>
      </c>
    </row>
    <row r="28" spans="1:7" ht="12.75">
      <c r="A28" s="5" t="s">
        <v>106</v>
      </c>
      <c r="B28" s="3" t="s">
        <v>4</v>
      </c>
      <c r="C28" s="31"/>
      <c r="D28" s="77">
        <f>D27/C27*100/1.16</f>
        <v>110.00000000000003</v>
      </c>
      <c r="E28" s="77">
        <f>E27/D27*100/1.105</f>
        <v>107</v>
      </c>
      <c r="F28" s="77">
        <f>F27/E27*100/1.107</f>
        <v>107</v>
      </c>
      <c r="G28" s="77">
        <f>G27/F27*100/1.105</f>
        <v>107.00000000000003</v>
      </c>
    </row>
    <row r="29" spans="1:7" ht="25.5">
      <c r="A29" s="9" t="s">
        <v>50</v>
      </c>
      <c r="B29" s="3" t="s">
        <v>3</v>
      </c>
      <c r="C29" s="31">
        <v>81.9</v>
      </c>
      <c r="D29" s="77">
        <f>C29*1.16*1.1</f>
        <v>104.50440000000002</v>
      </c>
      <c r="E29" s="77">
        <f>D29*1.07*1.105</f>
        <v>123.56077734000002</v>
      </c>
      <c r="F29" s="77">
        <f>E29*1.07*1.107</f>
        <v>146.35650515145662</v>
      </c>
      <c r="G29" s="77">
        <f>F29*1.07*1.105</f>
        <v>173.04461386582474</v>
      </c>
    </row>
    <row r="30" spans="1:7" ht="12.75">
      <c r="A30" s="5" t="s">
        <v>106</v>
      </c>
      <c r="B30" s="3" t="s">
        <v>4</v>
      </c>
      <c r="C30" s="31"/>
      <c r="D30" s="77">
        <f>D29/C29*100/1.16</f>
        <v>110.00000000000001</v>
      </c>
      <c r="E30" s="77">
        <f>E29/D29*100/1.105</f>
        <v>107</v>
      </c>
      <c r="F30" s="77">
        <f>F29/E29*100/1.107</f>
        <v>107</v>
      </c>
      <c r="G30" s="77">
        <f>G29/F29*100/1.105</f>
        <v>107</v>
      </c>
    </row>
    <row r="31" spans="1:7" ht="12.75">
      <c r="A31" s="29" t="s">
        <v>51</v>
      </c>
      <c r="B31" s="3" t="s">
        <v>3</v>
      </c>
      <c r="C31" s="31">
        <v>9997.2</v>
      </c>
      <c r="D31" s="74">
        <v>11749.6</v>
      </c>
      <c r="E31" s="74">
        <v>13439.6</v>
      </c>
      <c r="F31" s="74">
        <v>15300</v>
      </c>
      <c r="G31" s="77">
        <v>17686.4</v>
      </c>
    </row>
    <row r="32" spans="1:7" ht="12.75">
      <c r="A32" s="5" t="s">
        <v>106</v>
      </c>
      <c r="B32" s="3" t="s">
        <v>4</v>
      </c>
      <c r="C32" s="31"/>
      <c r="D32" s="77">
        <f>D31/C31*100/1.1</f>
        <v>106.84446190387854</v>
      </c>
      <c r="E32" s="77">
        <f>E31/D31*100/1.1</f>
        <v>103.98497124853766</v>
      </c>
      <c r="F32" s="77">
        <f>F31/E31*100/1.1</f>
        <v>103.4933398991853</v>
      </c>
      <c r="G32" s="77">
        <f>G31/F31*100/1.095</f>
        <v>105.56838869489958</v>
      </c>
    </row>
    <row r="33" spans="1:7" ht="12.75">
      <c r="A33" s="5"/>
      <c r="B33" s="3"/>
      <c r="C33" s="31"/>
      <c r="D33" s="31"/>
      <c r="E33" s="31"/>
      <c r="F33" s="31"/>
      <c r="G33" s="31"/>
    </row>
    <row r="34" spans="1:8" ht="12.75">
      <c r="A34" s="5"/>
      <c r="B34" s="3"/>
      <c r="C34" s="77"/>
      <c r="D34" s="77"/>
      <c r="E34" s="77"/>
      <c r="F34" s="77"/>
      <c r="G34" s="77"/>
      <c r="H34" s="105"/>
    </row>
    <row r="35" spans="1:7" ht="12.75">
      <c r="A35" s="5"/>
      <c r="B35" s="3"/>
      <c r="C35" s="31"/>
      <c r="D35" s="31"/>
      <c r="E35" s="31"/>
      <c r="F35" s="31"/>
      <c r="G35" s="31"/>
    </row>
    <row r="36" spans="1:7" ht="24">
      <c r="A36" s="32" t="s">
        <v>257</v>
      </c>
      <c r="B36" s="14"/>
      <c r="C36" s="31"/>
      <c r="D36" s="31"/>
      <c r="E36" s="31"/>
      <c r="F36" s="31"/>
      <c r="G36" s="31"/>
    </row>
    <row r="37" spans="1:7" ht="12.75">
      <c r="A37" s="32"/>
      <c r="B37" s="14"/>
      <c r="C37" s="31"/>
      <c r="D37" s="31"/>
      <c r="E37" s="31"/>
      <c r="F37" s="31"/>
      <c r="G37" s="31"/>
    </row>
    <row r="38" spans="1:7" ht="12.75">
      <c r="A38" s="9" t="s">
        <v>54</v>
      </c>
      <c r="B38" s="3"/>
      <c r="C38" s="31"/>
      <c r="D38" s="31"/>
      <c r="E38" s="31"/>
      <c r="F38" s="31"/>
      <c r="G38" s="31"/>
    </row>
    <row r="39" spans="1:7" ht="40.5" customHeight="1">
      <c r="A39" s="33" t="s">
        <v>52</v>
      </c>
      <c r="B39" s="3"/>
      <c r="C39" s="31"/>
      <c r="D39" s="31"/>
      <c r="E39" s="31"/>
      <c r="F39" s="31"/>
      <c r="G39" s="31"/>
    </row>
    <row r="40" spans="1:7" ht="12.75">
      <c r="A40" s="4" t="s">
        <v>53</v>
      </c>
      <c r="B40" s="3" t="s">
        <v>3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ht="12.75">
      <c r="A41" s="4" t="s">
        <v>106</v>
      </c>
      <c r="B41" s="3" t="s">
        <v>4</v>
      </c>
      <c r="C41" s="25"/>
      <c r="D41" s="25"/>
      <c r="E41" s="25"/>
      <c r="F41" s="25"/>
      <c r="G41" s="25"/>
    </row>
    <row r="42" spans="1:7" ht="12.75">
      <c r="A42" s="4"/>
      <c r="B42" s="3"/>
      <c r="C42" s="25"/>
      <c r="D42" s="25"/>
      <c r="E42" s="25"/>
      <c r="F42" s="25"/>
      <c r="G42" s="25"/>
    </row>
    <row r="43" spans="1:7" ht="12.75">
      <c r="A43" s="9" t="s">
        <v>55</v>
      </c>
      <c r="B43" s="3"/>
      <c r="C43" s="68"/>
      <c r="D43" s="68"/>
      <c r="E43" s="68"/>
      <c r="F43" s="68"/>
      <c r="G43" s="68"/>
    </row>
    <row r="44" spans="1:7" ht="42" customHeight="1">
      <c r="A44" s="33" t="s">
        <v>52</v>
      </c>
      <c r="B44" s="3"/>
      <c r="C44" s="68"/>
      <c r="D44" s="68"/>
      <c r="E44" s="68"/>
      <c r="F44" s="68"/>
      <c r="G44" s="68"/>
    </row>
    <row r="45" spans="1:7" ht="12.75">
      <c r="A45" s="4" t="s">
        <v>53</v>
      </c>
      <c r="B45" s="3" t="s">
        <v>3</v>
      </c>
      <c r="C45" s="30">
        <v>1290.3</v>
      </c>
      <c r="D45" s="78">
        <v>1514.9911120000002</v>
      </c>
      <c r="E45" s="78">
        <v>1780.2</v>
      </c>
      <c r="F45" s="78">
        <v>2089.9</v>
      </c>
      <c r="G45" s="78">
        <v>2444.4</v>
      </c>
    </row>
    <row r="46" spans="1:7" ht="12.75">
      <c r="A46" s="4" t="s">
        <v>106</v>
      </c>
      <c r="B46" s="3" t="s">
        <v>4</v>
      </c>
      <c r="C46" s="25"/>
      <c r="D46" s="67">
        <f>D45/C45*100/1.09</f>
        <v>107.7191430483061</v>
      </c>
      <c r="E46" s="67">
        <f>E45/D45*100/1.089</f>
        <v>107.90233228785127</v>
      </c>
      <c r="F46" s="67">
        <f>F45/E45*100/1.088</f>
        <v>107.9015824395144</v>
      </c>
      <c r="G46" s="67">
        <f>G45/F45*100/1.084</f>
        <v>107.89901669053533</v>
      </c>
    </row>
    <row r="47" spans="1:7" ht="25.5">
      <c r="A47" s="34" t="s">
        <v>27</v>
      </c>
      <c r="B47" s="3"/>
      <c r="C47" s="68"/>
      <c r="D47" s="68"/>
      <c r="E47" s="68"/>
      <c r="F47" s="68"/>
      <c r="G47" s="68"/>
    </row>
    <row r="48" spans="1:7" ht="12.75">
      <c r="A48" s="4" t="s">
        <v>56</v>
      </c>
      <c r="B48" s="3" t="s">
        <v>3</v>
      </c>
      <c r="C48" s="31">
        <v>54.1</v>
      </c>
      <c r="D48" s="74">
        <f>C48*1.1*1.08</f>
        <v>64.27080000000001</v>
      </c>
      <c r="E48" s="74">
        <f>D48*1.061*1.08</f>
        <v>73.64662430400001</v>
      </c>
      <c r="F48" s="74">
        <f>E48*1.058*1.08</f>
        <v>84.15157879472258</v>
      </c>
      <c r="G48" s="74">
        <f>F48*1.054*1.08</f>
        <v>95.79142517360862</v>
      </c>
    </row>
    <row r="49" spans="1:7" ht="12.75">
      <c r="A49" s="4" t="s">
        <v>107</v>
      </c>
      <c r="B49" s="3" t="s">
        <v>4</v>
      </c>
      <c r="C49" s="25"/>
      <c r="D49" s="67">
        <f>D48/1.1/C48*100</f>
        <v>108</v>
      </c>
      <c r="E49" s="67">
        <f>E48/1.061/D48*100</f>
        <v>108</v>
      </c>
      <c r="F49" s="67">
        <f>F48/1.058/E48*100</f>
        <v>108</v>
      </c>
      <c r="G49" s="67">
        <f>G48/1.054/F48*100</f>
        <v>108</v>
      </c>
    </row>
    <row r="50" spans="1:7" ht="12.75">
      <c r="A50" s="34" t="s">
        <v>28</v>
      </c>
      <c r="B50" s="3"/>
      <c r="C50" s="68"/>
      <c r="D50" s="68"/>
      <c r="E50" s="68"/>
      <c r="F50" s="68"/>
      <c r="G50" s="68"/>
    </row>
    <row r="51" spans="1:7" ht="12.75">
      <c r="A51" s="4" t="s">
        <v>56</v>
      </c>
      <c r="B51" s="3" t="s">
        <v>3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ht="12.75">
      <c r="A52" s="4" t="s">
        <v>107</v>
      </c>
      <c r="B52" s="3" t="s">
        <v>4</v>
      </c>
      <c r="C52" s="25"/>
      <c r="D52" s="25"/>
      <c r="E52" s="25"/>
      <c r="F52" s="25"/>
      <c r="G52" s="25"/>
    </row>
    <row r="53" spans="1:7" ht="25.5">
      <c r="A53" s="4" t="s">
        <v>81</v>
      </c>
      <c r="B53" s="3"/>
      <c r="C53" s="25"/>
      <c r="D53" s="25"/>
      <c r="E53" s="25"/>
      <c r="F53" s="25"/>
      <c r="G53" s="25"/>
    </row>
    <row r="54" spans="1:7" ht="12.75">
      <c r="A54" s="4" t="s">
        <v>56</v>
      </c>
      <c r="B54" s="3" t="s">
        <v>3</v>
      </c>
      <c r="C54" s="25">
        <v>5.2</v>
      </c>
      <c r="D54" s="67">
        <v>6</v>
      </c>
      <c r="E54" s="67">
        <v>6.3</v>
      </c>
      <c r="F54" s="67">
        <f>E54*1.065</f>
        <v>6.709499999999999</v>
      </c>
      <c r="G54" s="67">
        <f>F54*1.062</f>
        <v>7.125489</v>
      </c>
    </row>
    <row r="55" spans="1:7" ht="12.75">
      <c r="A55" s="4" t="s">
        <v>107</v>
      </c>
      <c r="B55" s="3" t="s">
        <v>4</v>
      </c>
      <c r="C55" s="25"/>
      <c r="D55" s="67">
        <f>D54/1.087/C54*100</f>
        <v>106.14960016983936</v>
      </c>
      <c r="E55" s="67">
        <f>E54/D54*100</f>
        <v>105</v>
      </c>
      <c r="F55" s="25">
        <f>F54/E54*100</f>
        <v>106.5</v>
      </c>
      <c r="G55" s="25">
        <f>G54/F54*100</f>
        <v>106.2</v>
      </c>
    </row>
    <row r="56" spans="1:7" ht="25.5">
      <c r="A56" s="34" t="s">
        <v>29</v>
      </c>
      <c r="B56" s="3"/>
      <c r="C56" s="68"/>
      <c r="D56" s="68"/>
      <c r="E56" s="68"/>
      <c r="F56" s="68"/>
      <c r="G56" s="68"/>
    </row>
    <row r="57" spans="1:7" ht="12.75">
      <c r="A57" s="4" t="s">
        <v>56</v>
      </c>
      <c r="B57" s="3" t="s">
        <v>3</v>
      </c>
      <c r="C57" s="31">
        <v>2.2</v>
      </c>
      <c r="D57" s="77">
        <f>C57*1.187*1.08</f>
        <v>2.8203120000000004</v>
      </c>
      <c r="E57" s="77">
        <f>D57*1.116*1.08</f>
        <v>3.399265647360001</v>
      </c>
      <c r="F57" s="77">
        <v>4</v>
      </c>
      <c r="G57" s="77">
        <v>4.7</v>
      </c>
    </row>
    <row r="58" spans="1:7" ht="12.75">
      <c r="A58" s="4" t="s">
        <v>107</v>
      </c>
      <c r="B58" s="3" t="s">
        <v>4</v>
      </c>
      <c r="C58" s="25"/>
      <c r="D58" s="67">
        <f>D57/1.187/C57*100</f>
        <v>108</v>
      </c>
      <c r="E58" s="67">
        <f>E57/1.116/D57*100</f>
        <v>108</v>
      </c>
      <c r="F58" s="67">
        <f>F57/1.112/E57*100</f>
        <v>105.82057053857898</v>
      </c>
      <c r="G58" s="67">
        <f>G57/1.107/F57*100</f>
        <v>106.1427280939476</v>
      </c>
    </row>
    <row r="59" spans="1:7" ht="25.5">
      <c r="A59" s="34" t="s">
        <v>30</v>
      </c>
      <c r="B59" s="3"/>
      <c r="C59" s="68"/>
      <c r="D59" s="68"/>
      <c r="E59" s="68"/>
      <c r="F59" s="68"/>
      <c r="G59" s="68"/>
    </row>
    <row r="60" spans="1:7" ht="12.75">
      <c r="A60" s="4" t="s">
        <v>56</v>
      </c>
      <c r="B60" s="3" t="s">
        <v>3</v>
      </c>
      <c r="C60" s="31">
        <v>5.3</v>
      </c>
      <c r="D60" s="77">
        <v>6.3</v>
      </c>
      <c r="E60" s="77">
        <v>7.3</v>
      </c>
      <c r="F60" s="77">
        <v>8.4</v>
      </c>
      <c r="G60" s="77">
        <v>9.7</v>
      </c>
    </row>
    <row r="61" spans="1:7" ht="12.75">
      <c r="A61" s="4" t="s">
        <v>107</v>
      </c>
      <c r="B61" s="3" t="s">
        <v>4</v>
      </c>
      <c r="C61" s="25"/>
      <c r="D61" s="67">
        <f>D60/1.12/C60*100</f>
        <v>106.1320754716981</v>
      </c>
      <c r="E61" s="67">
        <f>E60/D60/1.098*100</f>
        <v>105.53097984791975</v>
      </c>
      <c r="F61" s="67">
        <f>F60/1.094/E60*100</f>
        <v>105.18143798051638</v>
      </c>
      <c r="G61" s="67">
        <f>G60/F60/1.09*100</f>
        <v>105.94145915246831</v>
      </c>
    </row>
    <row r="62" spans="1:7" ht="12.75">
      <c r="A62" s="34" t="s">
        <v>31</v>
      </c>
      <c r="B62" s="3"/>
      <c r="C62" s="68"/>
      <c r="D62" s="68"/>
      <c r="E62" s="68"/>
      <c r="F62" s="68"/>
      <c r="G62" s="68"/>
    </row>
    <row r="63" spans="1:7" ht="12.75">
      <c r="A63" s="4" t="s">
        <v>56</v>
      </c>
      <c r="B63" s="3" t="s">
        <v>3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ht="12.75">
      <c r="A64" s="4" t="s">
        <v>107</v>
      </c>
      <c r="B64" s="3" t="s">
        <v>4</v>
      </c>
      <c r="C64" s="25"/>
      <c r="D64" s="25"/>
      <c r="E64" s="25"/>
      <c r="F64" s="25"/>
      <c r="G64" s="25"/>
    </row>
    <row r="65" spans="1:7" ht="12.75">
      <c r="A65" s="34" t="s">
        <v>32</v>
      </c>
      <c r="B65" s="3"/>
      <c r="C65" s="68"/>
      <c r="D65" s="68"/>
      <c r="E65" s="68"/>
      <c r="F65" s="68"/>
      <c r="G65" s="68"/>
    </row>
    <row r="66" spans="1:7" ht="12.75">
      <c r="A66" s="4" t="s">
        <v>56</v>
      </c>
      <c r="B66" s="3" t="s">
        <v>3</v>
      </c>
      <c r="C66" s="31">
        <v>30.2</v>
      </c>
      <c r="D66" s="77">
        <v>36</v>
      </c>
      <c r="E66" s="77">
        <v>43</v>
      </c>
      <c r="F66" s="77">
        <v>52</v>
      </c>
      <c r="G66" s="77">
        <v>60.8</v>
      </c>
    </row>
    <row r="67" spans="1:7" ht="12.75">
      <c r="A67" s="4" t="s">
        <v>107</v>
      </c>
      <c r="B67" s="3" t="s">
        <v>4</v>
      </c>
      <c r="C67" s="25"/>
      <c r="D67" s="67">
        <f>D66/C66/1.131*100</f>
        <v>105.39814147943858</v>
      </c>
      <c r="E67" s="67">
        <f>E66/D66*100/1.13</f>
        <v>105.7030481809243</v>
      </c>
      <c r="F67" s="67">
        <f>F66/E66*100/1.123</f>
        <v>107.68498001615274</v>
      </c>
      <c r="G67" s="67">
        <f>G66/F66*100/1.118</f>
        <v>104.58235860740331</v>
      </c>
    </row>
    <row r="68" spans="1:7" ht="25.5">
      <c r="A68" s="34" t="s">
        <v>33</v>
      </c>
      <c r="B68" s="3"/>
      <c r="C68" s="68"/>
      <c r="D68" s="68"/>
      <c r="E68" s="68"/>
      <c r="F68" s="68"/>
      <c r="G68" s="68"/>
    </row>
    <row r="69" spans="1:7" ht="12.75">
      <c r="A69" s="4" t="s">
        <v>56</v>
      </c>
      <c r="B69" s="3" t="s">
        <v>3</v>
      </c>
      <c r="C69" s="31">
        <v>127.7</v>
      </c>
      <c r="D69" s="77">
        <v>140</v>
      </c>
      <c r="E69" s="77">
        <v>160.3</v>
      </c>
      <c r="F69" s="77">
        <v>182.4</v>
      </c>
      <c r="G69" s="77">
        <v>201.8</v>
      </c>
    </row>
    <row r="70" spans="1:7" ht="12.75">
      <c r="A70" s="4" t="s">
        <v>107</v>
      </c>
      <c r="B70" s="3" t="s">
        <v>4</v>
      </c>
      <c r="C70" s="25"/>
      <c r="D70" s="67">
        <f>D69/C69*100/1.062</f>
        <v>103.23159122649453</v>
      </c>
      <c r="E70" s="67">
        <f>E69/D69*100/1.062</f>
        <v>107.81544256120527</v>
      </c>
      <c r="F70" s="67">
        <f>F69/E69*100/1.054</f>
        <v>107.95697346412855</v>
      </c>
      <c r="G70" s="67">
        <f>G69/F69*100/1.05</f>
        <v>105.36758563074353</v>
      </c>
    </row>
    <row r="71" spans="1:7" ht="25.5">
      <c r="A71" s="34" t="s">
        <v>34</v>
      </c>
      <c r="B71" s="3"/>
      <c r="C71" s="68"/>
      <c r="D71" s="68"/>
      <c r="E71" s="68"/>
      <c r="F71" s="68"/>
      <c r="G71" s="68"/>
    </row>
    <row r="72" spans="1:7" ht="12.75">
      <c r="A72" s="4" t="s">
        <v>56</v>
      </c>
      <c r="B72" s="3" t="s">
        <v>3</v>
      </c>
      <c r="C72" s="31">
        <v>119</v>
      </c>
      <c r="D72" s="74">
        <v>150</v>
      </c>
      <c r="E72" s="74">
        <f>D72*1.173*1.08</f>
        <v>190.02600000000004</v>
      </c>
      <c r="F72" s="74">
        <f>E72*1.15*1.08</f>
        <v>236.01229200000003</v>
      </c>
      <c r="G72" s="74">
        <f>F72*1.145*1.08</f>
        <v>291.85280028720007</v>
      </c>
    </row>
    <row r="73" spans="1:7" ht="12.75">
      <c r="A73" s="4" t="s">
        <v>107</v>
      </c>
      <c r="B73" s="3" t="s">
        <v>4</v>
      </c>
      <c r="C73" s="25"/>
      <c r="D73" s="67">
        <f>D72/C72*100/1.203</f>
        <v>104.78006664012237</v>
      </c>
      <c r="E73" s="67">
        <f>E72/D72*100/1.173</f>
        <v>108.00000000000001</v>
      </c>
      <c r="F73" s="67">
        <f>F72/E72*100/1.15</f>
        <v>108.00000000000001</v>
      </c>
      <c r="G73" s="67">
        <f>G72/F72*100/1.145</f>
        <v>108.00000000000001</v>
      </c>
    </row>
    <row r="74" spans="1:7" ht="25.5">
      <c r="A74" s="34" t="s">
        <v>35</v>
      </c>
      <c r="B74" s="3"/>
      <c r="C74" s="68"/>
      <c r="D74" s="68"/>
      <c r="E74" s="68"/>
      <c r="F74" s="68"/>
      <c r="G74" s="68"/>
    </row>
    <row r="75" spans="1:7" ht="12.75">
      <c r="A75" s="4" t="s">
        <v>56</v>
      </c>
      <c r="B75" s="3" t="s">
        <v>3</v>
      </c>
      <c r="C75" s="31">
        <v>190.2</v>
      </c>
      <c r="D75" s="77">
        <v>225</v>
      </c>
      <c r="E75" s="77">
        <v>260.6</v>
      </c>
      <c r="F75" s="77">
        <f>E75*1.087*1.08</f>
        <v>305.93397600000003</v>
      </c>
      <c r="G75" s="77">
        <f>F75*1.083*1.08</f>
        <v>357.83261568864003</v>
      </c>
    </row>
    <row r="76" spans="1:7" ht="12.75">
      <c r="A76" s="4" t="s">
        <v>107</v>
      </c>
      <c r="B76" s="3" t="s">
        <v>4</v>
      </c>
      <c r="C76" s="25"/>
      <c r="D76" s="67">
        <f>D75/C75*100/1.127</f>
        <v>104.96586510066926</v>
      </c>
      <c r="E76" s="67">
        <f>E75/D75*100/1.097</f>
        <v>105.58087713967386</v>
      </c>
      <c r="F76" s="67">
        <f>F75/E75*100/1.087</f>
        <v>108.00000000000001</v>
      </c>
      <c r="G76" s="67">
        <f>G75/F75*100/1.083</f>
        <v>108</v>
      </c>
    </row>
    <row r="77" spans="1:7" ht="25.5">
      <c r="A77" s="35" t="s">
        <v>82</v>
      </c>
      <c r="B77" s="3"/>
      <c r="C77" s="25"/>
      <c r="D77" s="25"/>
      <c r="E77" s="25"/>
      <c r="F77" s="25"/>
      <c r="G77" s="25"/>
    </row>
    <row r="78" spans="1:7" ht="12.75">
      <c r="A78" s="4" t="s">
        <v>56</v>
      </c>
      <c r="B78" s="3" t="s">
        <v>3</v>
      </c>
      <c r="C78" s="25">
        <v>161.1</v>
      </c>
      <c r="D78" s="67">
        <v>185</v>
      </c>
      <c r="E78" s="67">
        <v>214.2</v>
      </c>
      <c r="F78" s="67">
        <f>E78*1.081*1.08</f>
        <v>250.074216</v>
      </c>
      <c r="G78" s="67">
        <v>279.1</v>
      </c>
    </row>
    <row r="79" spans="1:7" ht="12.75">
      <c r="A79" s="4" t="s">
        <v>107</v>
      </c>
      <c r="B79" s="3" t="s">
        <v>4</v>
      </c>
      <c r="C79" s="25"/>
      <c r="D79" s="67">
        <f>D78/C78*100/1.094</f>
        <v>104.96846974127824</v>
      </c>
      <c r="E79" s="67">
        <f>E78/D78*100/1.087</f>
        <v>106.51682040826475</v>
      </c>
      <c r="F79" s="25">
        <f>F78/E78*100/1.081</f>
        <v>108.00000000000001</v>
      </c>
      <c r="G79" s="67">
        <f>G78/F78*100/1.078</f>
        <v>103.53141738289074</v>
      </c>
    </row>
    <row r="80" spans="1:7" ht="25.5">
      <c r="A80" s="34" t="s">
        <v>36</v>
      </c>
      <c r="B80" s="3"/>
      <c r="C80" s="68"/>
      <c r="D80" s="68"/>
      <c r="E80" s="68"/>
      <c r="F80" s="68"/>
      <c r="G80" s="68"/>
    </row>
    <row r="81" spans="1:7" ht="12.75">
      <c r="A81" s="4" t="s">
        <v>56</v>
      </c>
      <c r="B81" s="3" t="s">
        <v>3</v>
      </c>
      <c r="C81" s="31">
        <v>307.8</v>
      </c>
      <c r="D81" s="77">
        <v>369.6</v>
      </c>
      <c r="E81" s="77">
        <v>440.2</v>
      </c>
      <c r="F81" s="77">
        <v>500</v>
      </c>
      <c r="G81" s="77">
        <v>571.3</v>
      </c>
    </row>
    <row r="82" spans="1:7" ht="12.75">
      <c r="A82" s="4" t="s">
        <v>107</v>
      </c>
      <c r="B82" s="3" t="s">
        <v>4</v>
      </c>
      <c r="C82" s="25"/>
      <c r="D82" s="67">
        <f>D81/C81*100/1.131</f>
        <v>106.16973714372382</v>
      </c>
      <c r="E82" s="67">
        <f>E81/D81*100/1.108</f>
        <v>107.49253754668915</v>
      </c>
      <c r="F82" s="67">
        <f>F81/E81*100/1.086</f>
        <v>104.58999467009387</v>
      </c>
      <c r="G82" s="67">
        <f>G81/F81*100/1.082</f>
        <v>105.60073937153417</v>
      </c>
    </row>
    <row r="83" spans="1:7" ht="25.5">
      <c r="A83" s="34" t="s">
        <v>37</v>
      </c>
      <c r="B83" s="3"/>
      <c r="C83" s="68"/>
      <c r="D83" s="68"/>
      <c r="E83" s="68"/>
      <c r="F83" s="68"/>
      <c r="G83" s="68"/>
    </row>
    <row r="84" spans="1:7" ht="12.75">
      <c r="A84" s="4" t="s">
        <v>56</v>
      </c>
      <c r="B84" s="3" t="s">
        <v>3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</row>
    <row r="85" spans="1:7" ht="12.75">
      <c r="A85" s="4" t="s">
        <v>107</v>
      </c>
      <c r="B85" s="3" t="s">
        <v>4</v>
      </c>
      <c r="C85" s="25"/>
      <c r="D85" s="25"/>
      <c r="E85" s="25"/>
      <c r="F85" s="25"/>
      <c r="G85" s="25"/>
    </row>
    <row r="86" spans="1:7" ht="12.75">
      <c r="A86" s="34" t="s">
        <v>38</v>
      </c>
      <c r="B86" s="3"/>
      <c r="C86" s="68"/>
      <c r="D86" s="68"/>
      <c r="E86" s="68"/>
      <c r="F86" s="68"/>
      <c r="G86" s="68"/>
    </row>
    <row r="87" spans="1:7" ht="12.75">
      <c r="A87" s="4" t="s">
        <v>56</v>
      </c>
      <c r="B87" s="3" t="s">
        <v>3</v>
      </c>
      <c r="C87" s="31">
        <v>287.5</v>
      </c>
      <c r="D87" s="77">
        <v>330</v>
      </c>
      <c r="E87" s="77">
        <v>381.2</v>
      </c>
      <c r="F87" s="77">
        <v>460.2</v>
      </c>
      <c r="G87" s="77">
        <v>564.4</v>
      </c>
    </row>
    <row r="88" spans="1:7" ht="12.75">
      <c r="A88" s="4" t="s">
        <v>107</v>
      </c>
      <c r="B88" s="3" t="s">
        <v>4</v>
      </c>
      <c r="C88" s="25"/>
      <c r="D88" s="67">
        <f>D87/C87*100/1.1</f>
        <v>104.34782608695652</v>
      </c>
      <c r="E88" s="67">
        <f>E87/D87*100/1.1</f>
        <v>105.01377410468318</v>
      </c>
      <c r="F88" s="67">
        <f>F87/E87*100/1.1</f>
        <v>109.74911761900218</v>
      </c>
      <c r="G88" s="67">
        <f>G87/F87*100/1.095</f>
        <v>112.00212732601868</v>
      </c>
    </row>
    <row r="89" spans="1:7" ht="12.75">
      <c r="A89" s="4"/>
      <c r="B89" s="3"/>
      <c r="C89" s="25"/>
      <c r="D89" s="67"/>
      <c r="E89" s="67"/>
      <c r="F89" s="67"/>
      <c r="G89" s="67"/>
    </row>
    <row r="90" spans="1:7" ht="25.5">
      <c r="A90" s="9" t="s">
        <v>57</v>
      </c>
      <c r="B90" s="3"/>
      <c r="C90" s="68"/>
      <c r="D90" s="68"/>
      <c r="E90" s="69"/>
      <c r="F90" s="69"/>
      <c r="G90" s="69"/>
    </row>
    <row r="91" spans="1:7" ht="40.5" customHeight="1">
      <c r="A91" s="33" t="s">
        <v>26</v>
      </c>
      <c r="B91" s="3"/>
      <c r="C91" s="68"/>
      <c r="D91" s="68"/>
      <c r="E91" s="68"/>
      <c r="F91" s="68"/>
      <c r="G91" s="68"/>
    </row>
    <row r="92" spans="1:7" ht="12.75">
      <c r="A92" s="4" t="s">
        <v>5</v>
      </c>
      <c r="B92" s="3" t="s">
        <v>3</v>
      </c>
      <c r="C92" s="31">
        <v>918.8</v>
      </c>
      <c r="D92" s="77">
        <f>C92*1.165*1.01</f>
        <v>1081.10602</v>
      </c>
      <c r="E92" s="77">
        <f>D92*1.16*1.01</f>
        <v>1266.623813032</v>
      </c>
      <c r="F92" s="77">
        <f>E92*1.156*1.01</f>
        <v>1478.859299143642</v>
      </c>
      <c r="G92" s="77">
        <f>F92*1.151*1.01</f>
        <v>1719.1887238474753</v>
      </c>
    </row>
    <row r="93" spans="1:7" ht="12.75">
      <c r="A93" s="4" t="s">
        <v>105</v>
      </c>
      <c r="B93" s="3" t="s">
        <v>4</v>
      </c>
      <c r="C93" s="25"/>
      <c r="D93" s="67">
        <v>104.1</v>
      </c>
      <c r="E93" s="67">
        <v>106.5</v>
      </c>
      <c r="F93" s="67">
        <v>108</v>
      </c>
      <c r="G93" s="67">
        <v>108</v>
      </c>
    </row>
    <row r="94" spans="1:7" ht="29.25" customHeight="1">
      <c r="A94" s="34" t="s">
        <v>39</v>
      </c>
      <c r="B94" s="3"/>
      <c r="C94" s="68"/>
      <c r="D94" s="68"/>
      <c r="E94" s="68"/>
      <c r="F94" s="68"/>
      <c r="G94" s="68"/>
    </row>
    <row r="95" spans="1:7" ht="12.75">
      <c r="A95" s="4" t="s">
        <v>56</v>
      </c>
      <c r="B95" s="3" t="s">
        <v>3</v>
      </c>
      <c r="C95" s="31">
        <v>203.9</v>
      </c>
      <c r="D95" s="77">
        <f>C95*1.165*1.01</f>
        <v>239.91893500000003</v>
      </c>
      <c r="E95" s="77">
        <f>D95*1.16*1.01</f>
        <v>281.08902424600006</v>
      </c>
      <c r="F95" s="77">
        <f>E95*1.156*1.01</f>
        <v>328.1883011486598</v>
      </c>
      <c r="G95" s="77">
        <f>F95*1.151*1.01</f>
        <v>381.5221819683285</v>
      </c>
    </row>
    <row r="96" spans="1:7" ht="12.75">
      <c r="A96" s="4" t="s">
        <v>107</v>
      </c>
      <c r="B96" s="3" t="s">
        <v>4</v>
      </c>
      <c r="C96" s="25"/>
      <c r="D96" s="67"/>
      <c r="E96" s="67"/>
      <c r="F96" s="67"/>
      <c r="G96" s="67"/>
    </row>
    <row r="97" spans="1:7" ht="25.5">
      <c r="A97" s="35" t="s">
        <v>40</v>
      </c>
      <c r="B97" s="3"/>
      <c r="C97" s="25"/>
      <c r="D97" s="25"/>
      <c r="E97" s="25"/>
      <c r="F97" s="25"/>
      <c r="G97" s="25"/>
    </row>
    <row r="98" spans="1:7" ht="12.75">
      <c r="A98" s="4" t="s">
        <v>56</v>
      </c>
      <c r="B98" s="3" t="s">
        <v>3</v>
      </c>
      <c r="C98" s="25">
        <v>503.8</v>
      </c>
      <c r="D98" s="77">
        <f>C98*1.165*1.01</f>
        <v>592.79627</v>
      </c>
      <c r="E98" s="77">
        <f>D98*1.165*1.01</f>
        <v>697.5137310955001</v>
      </c>
      <c r="F98" s="77">
        <f>E98*1.165*1.01</f>
        <v>820.7295316935204</v>
      </c>
      <c r="G98" s="77">
        <f>F98*1.165*1.01</f>
        <v>965.7114034671808</v>
      </c>
    </row>
    <row r="99" spans="1:7" ht="12.75">
      <c r="A99" s="4" t="s">
        <v>107</v>
      </c>
      <c r="B99" s="3" t="s">
        <v>4</v>
      </c>
      <c r="C99" s="25"/>
      <c r="D99" s="67"/>
      <c r="E99" s="67"/>
      <c r="F99" s="67"/>
      <c r="G99" s="67"/>
    </row>
    <row r="100" spans="1:7" ht="12.75">
      <c r="A100" s="4"/>
      <c r="B100" s="3"/>
      <c r="C100" s="68"/>
      <c r="D100" s="68"/>
      <c r="E100" s="68"/>
      <c r="F100" s="68"/>
      <c r="G100" s="68"/>
    </row>
    <row r="101" spans="1:7" ht="12.75">
      <c r="A101" s="4"/>
      <c r="B101" s="3"/>
      <c r="C101" s="70"/>
      <c r="D101" s="68"/>
      <c r="E101" s="108"/>
      <c r="F101" s="68"/>
      <c r="G101" s="68"/>
    </row>
    <row r="102" spans="1:7" ht="12.75">
      <c r="A102" s="18" t="s">
        <v>58</v>
      </c>
      <c r="B102" s="19"/>
      <c r="C102" s="70"/>
      <c r="D102" s="68"/>
      <c r="E102" s="108"/>
      <c r="F102" s="68"/>
      <c r="G102" s="68"/>
    </row>
    <row r="103" spans="1:7" ht="12.75">
      <c r="A103" s="44" t="s">
        <v>12</v>
      </c>
      <c r="B103" s="21" t="s">
        <v>9</v>
      </c>
      <c r="C103" s="70">
        <v>497</v>
      </c>
      <c r="D103" s="68">
        <v>450</v>
      </c>
      <c r="E103" s="108">
        <v>450</v>
      </c>
      <c r="F103" s="68">
        <v>450</v>
      </c>
      <c r="G103" s="68">
        <v>450</v>
      </c>
    </row>
    <row r="104" spans="1:7" ht="12.75">
      <c r="A104" s="20" t="s">
        <v>255</v>
      </c>
      <c r="B104" s="21"/>
      <c r="C104" s="70"/>
      <c r="D104" s="68"/>
      <c r="E104" s="108"/>
      <c r="F104" s="68"/>
      <c r="G104" s="68"/>
    </row>
    <row r="105" spans="1:7" ht="12.75">
      <c r="A105" s="20" t="s">
        <v>122</v>
      </c>
      <c r="B105" s="21" t="s">
        <v>9</v>
      </c>
      <c r="C105" s="70">
        <v>0</v>
      </c>
      <c r="D105" s="68">
        <v>0</v>
      </c>
      <c r="E105" s="108">
        <v>0</v>
      </c>
      <c r="F105" s="68">
        <v>0</v>
      </c>
      <c r="G105" s="68">
        <v>0</v>
      </c>
    </row>
    <row r="106" spans="1:7" ht="12.75">
      <c r="A106" s="20" t="s">
        <v>124</v>
      </c>
      <c r="B106" s="21" t="s">
        <v>9</v>
      </c>
      <c r="C106" s="70">
        <v>59</v>
      </c>
      <c r="D106" s="68">
        <v>59</v>
      </c>
      <c r="E106" s="108">
        <v>59</v>
      </c>
      <c r="F106" s="68">
        <v>59</v>
      </c>
      <c r="G106" s="68">
        <v>59</v>
      </c>
    </row>
    <row r="107" spans="1:7" ht="25.5">
      <c r="A107" s="20" t="s">
        <v>125</v>
      </c>
      <c r="B107" s="21" t="s">
        <v>9</v>
      </c>
      <c r="C107" s="70">
        <v>0</v>
      </c>
      <c r="D107" s="68">
        <v>0</v>
      </c>
      <c r="E107" s="108">
        <v>0</v>
      </c>
      <c r="F107" s="68">
        <v>0</v>
      </c>
      <c r="G107" s="68">
        <v>0</v>
      </c>
    </row>
    <row r="108" spans="1:7" ht="12.75">
      <c r="A108" s="20" t="s">
        <v>126</v>
      </c>
      <c r="B108" s="21" t="s">
        <v>9</v>
      </c>
      <c r="C108" s="70">
        <v>51</v>
      </c>
      <c r="D108" s="68">
        <v>50</v>
      </c>
      <c r="E108" s="108">
        <v>50</v>
      </c>
      <c r="F108" s="68">
        <v>50</v>
      </c>
      <c r="G108" s="68">
        <v>50</v>
      </c>
    </row>
    <row r="109" spans="1:7" ht="38.25">
      <c r="A109" s="20" t="s">
        <v>127</v>
      </c>
      <c r="B109" s="21" t="s">
        <v>9</v>
      </c>
      <c r="C109" s="70">
        <v>126</v>
      </c>
      <c r="D109" s="68">
        <v>130</v>
      </c>
      <c r="E109" s="108">
        <v>130</v>
      </c>
      <c r="F109" s="68">
        <v>130</v>
      </c>
      <c r="G109" s="68">
        <v>130</v>
      </c>
    </row>
    <row r="110" spans="1:7" ht="12.75">
      <c r="A110" s="20"/>
      <c r="B110" s="21"/>
      <c r="C110" s="70"/>
      <c r="D110" s="68"/>
      <c r="E110" s="108"/>
      <c r="F110" s="68"/>
      <c r="G110" s="68"/>
    </row>
    <row r="111" spans="1:7" ht="12.75">
      <c r="A111" s="44" t="s">
        <v>128</v>
      </c>
      <c r="B111" s="21" t="s">
        <v>13</v>
      </c>
      <c r="C111" s="68">
        <v>859.7</v>
      </c>
      <c r="D111" s="68">
        <v>982</v>
      </c>
      <c r="E111" s="108">
        <v>1106</v>
      </c>
      <c r="F111" s="68">
        <v>1245</v>
      </c>
      <c r="G111" s="68">
        <v>1395</v>
      </c>
    </row>
    <row r="112" spans="1:7" ht="13.5" customHeight="1">
      <c r="A112" s="45" t="s">
        <v>79</v>
      </c>
      <c r="B112" s="3" t="s">
        <v>8</v>
      </c>
      <c r="C112" s="68"/>
      <c r="D112" s="69">
        <f>D111/C111*100</f>
        <v>114.22589275328603</v>
      </c>
      <c r="E112" s="69">
        <f>E111/D111*100</f>
        <v>112.62729124236253</v>
      </c>
      <c r="F112" s="69">
        <f>F111/E111*100</f>
        <v>112.56781193490055</v>
      </c>
      <c r="G112" s="69">
        <f>G111/F111*100</f>
        <v>112.04819277108433</v>
      </c>
    </row>
    <row r="113" spans="1:7" ht="12.75">
      <c r="A113" s="20" t="s">
        <v>123</v>
      </c>
      <c r="B113" s="21"/>
      <c r="C113" s="68"/>
      <c r="D113" s="68"/>
      <c r="E113" s="108"/>
      <c r="F113" s="68"/>
      <c r="G113" s="68"/>
    </row>
    <row r="114" spans="1:7" ht="12.75">
      <c r="A114" s="20" t="s">
        <v>122</v>
      </c>
      <c r="B114" s="21" t="s">
        <v>13</v>
      </c>
      <c r="C114" s="68">
        <v>0</v>
      </c>
      <c r="D114" s="68">
        <v>0</v>
      </c>
      <c r="E114" s="108">
        <v>0</v>
      </c>
      <c r="F114" s="68">
        <v>0</v>
      </c>
      <c r="G114" s="68">
        <v>0</v>
      </c>
    </row>
    <row r="115" spans="1:7" ht="12.75">
      <c r="A115" s="45" t="s">
        <v>129</v>
      </c>
      <c r="B115" s="3" t="s">
        <v>8</v>
      </c>
      <c r="C115" s="68"/>
      <c r="D115" s="68"/>
      <c r="E115" s="108"/>
      <c r="F115" s="68"/>
      <c r="G115" s="68"/>
    </row>
    <row r="116" spans="1:7" ht="12.75">
      <c r="A116" s="20" t="s">
        <v>124</v>
      </c>
      <c r="B116" s="21" t="s">
        <v>13</v>
      </c>
      <c r="C116" s="68">
        <v>439.5</v>
      </c>
      <c r="D116" s="68">
        <v>495</v>
      </c>
      <c r="E116" s="108">
        <v>560</v>
      </c>
      <c r="F116" s="68">
        <v>620</v>
      </c>
      <c r="G116" s="68">
        <v>670</v>
      </c>
    </row>
    <row r="117" spans="1:7" ht="12.75">
      <c r="A117" s="45" t="s">
        <v>129</v>
      </c>
      <c r="B117" s="3" t="s">
        <v>8</v>
      </c>
      <c r="C117" s="68"/>
      <c r="D117" s="69">
        <f>D116/C116*100</f>
        <v>112.62798634812287</v>
      </c>
      <c r="E117" s="69">
        <f>E116/D116*100</f>
        <v>113.13131313131312</v>
      </c>
      <c r="F117" s="69">
        <f>F116/E116*100</f>
        <v>110.71428571428572</v>
      </c>
      <c r="G117" s="69">
        <f>G116/F116*100</f>
        <v>108.06451612903226</v>
      </c>
    </row>
    <row r="118" spans="1:7" ht="25.5">
      <c r="A118" s="20" t="s">
        <v>125</v>
      </c>
      <c r="B118" s="21" t="s">
        <v>13</v>
      </c>
      <c r="C118" s="68">
        <v>0</v>
      </c>
      <c r="D118" s="68">
        <v>0</v>
      </c>
      <c r="E118" s="108">
        <v>0</v>
      </c>
      <c r="F118" s="68">
        <v>0</v>
      </c>
      <c r="G118" s="68">
        <v>0</v>
      </c>
    </row>
    <row r="119" spans="1:7" ht="12.75">
      <c r="A119" s="45" t="s">
        <v>129</v>
      </c>
      <c r="B119" s="3" t="s">
        <v>8</v>
      </c>
      <c r="C119" s="68"/>
      <c r="D119" s="68"/>
      <c r="E119" s="108"/>
      <c r="F119" s="68"/>
      <c r="G119" s="68"/>
    </row>
    <row r="120" spans="1:7" ht="12.75">
      <c r="A120" s="20" t="s">
        <v>126</v>
      </c>
      <c r="B120" s="21" t="s">
        <v>13</v>
      </c>
      <c r="C120" s="68">
        <v>170.2</v>
      </c>
      <c r="D120" s="68">
        <v>196.6</v>
      </c>
      <c r="E120" s="108">
        <v>217</v>
      </c>
      <c r="F120" s="68">
        <v>235</v>
      </c>
      <c r="G120" s="68">
        <v>254</v>
      </c>
    </row>
    <row r="121" spans="1:7" ht="12.75">
      <c r="A121" s="45" t="s">
        <v>129</v>
      </c>
      <c r="B121" s="3" t="s">
        <v>8</v>
      </c>
      <c r="C121" s="68"/>
      <c r="D121" s="69">
        <f>D120/C120*100</f>
        <v>115.5111633372503</v>
      </c>
      <c r="E121" s="69">
        <f>E120/D120*100</f>
        <v>110.37639877924721</v>
      </c>
      <c r="F121" s="69">
        <f>F120/E120*100</f>
        <v>108.29493087557604</v>
      </c>
      <c r="G121" s="69">
        <f>G120/F120*100</f>
        <v>108.08510638297872</v>
      </c>
    </row>
    <row r="122" spans="1:7" ht="38.25">
      <c r="A122" s="20" t="s">
        <v>127</v>
      </c>
      <c r="B122" s="21" t="s">
        <v>13</v>
      </c>
      <c r="C122" s="68">
        <v>75</v>
      </c>
      <c r="D122" s="68">
        <v>84</v>
      </c>
      <c r="E122" s="108">
        <v>91</v>
      </c>
      <c r="F122" s="68">
        <v>98</v>
      </c>
      <c r="G122" s="68">
        <v>104</v>
      </c>
    </row>
    <row r="123" spans="1:7" ht="13.5" customHeight="1">
      <c r="A123" s="45" t="s">
        <v>129</v>
      </c>
      <c r="B123" s="3" t="s">
        <v>8</v>
      </c>
      <c r="C123" s="68"/>
      <c r="D123" s="69">
        <f>D122/C122*100</f>
        <v>112.00000000000001</v>
      </c>
      <c r="E123" s="69">
        <f>E122/D122*100</f>
        <v>108.33333333333333</v>
      </c>
      <c r="F123" s="69">
        <f>F122/E122*100</f>
        <v>107.6923076923077</v>
      </c>
      <c r="G123" s="69">
        <f>G122/F122*100</f>
        <v>106.12244897959184</v>
      </c>
    </row>
    <row r="124" spans="1:7" ht="13.5" customHeight="1">
      <c r="A124" s="20"/>
      <c r="B124" s="3"/>
      <c r="C124" s="68"/>
      <c r="D124" s="68"/>
      <c r="E124" s="108"/>
      <c r="F124" s="68"/>
      <c r="G124" s="68"/>
    </row>
    <row r="125" spans="1:7" ht="38.25">
      <c r="A125" s="20" t="s">
        <v>59</v>
      </c>
      <c r="B125" s="21" t="s">
        <v>7</v>
      </c>
      <c r="C125" s="95">
        <v>10</v>
      </c>
      <c r="D125" s="95">
        <v>10</v>
      </c>
      <c r="E125" s="95">
        <v>10</v>
      </c>
      <c r="F125" s="95">
        <v>10</v>
      </c>
      <c r="G125" s="95">
        <v>10</v>
      </c>
    </row>
    <row r="126" spans="1:7" ht="13.5" customHeight="1">
      <c r="A126" s="20" t="s">
        <v>123</v>
      </c>
      <c r="B126" s="21"/>
      <c r="C126" s="95"/>
      <c r="D126" s="95"/>
      <c r="E126" s="95"/>
      <c r="F126" s="95"/>
      <c r="G126" s="95"/>
    </row>
    <row r="127" spans="1:7" ht="13.5" customHeight="1">
      <c r="A127" s="20" t="s">
        <v>122</v>
      </c>
      <c r="B127" s="21" t="s">
        <v>7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</row>
    <row r="128" spans="1:7" ht="13.5" customHeight="1">
      <c r="A128" s="20" t="s">
        <v>124</v>
      </c>
      <c r="B128" s="21" t="s">
        <v>7</v>
      </c>
      <c r="C128" s="95">
        <v>0</v>
      </c>
      <c r="D128" s="95">
        <v>0</v>
      </c>
      <c r="E128" s="95">
        <v>0</v>
      </c>
      <c r="F128" s="95">
        <v>0</v>
      </c>
      <c r="G128" s="95">
        <v>0</v>
      </c>
    </row>
    <row r="129" spans="1:7" ht="24" customHeight="1">
      <c r="A129" s="20" t="s">
        <v>125</v>
      </c>
      <c r="B129" s="21" t="s">
        <v>7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</row>
    <row r="130" spans="1:7" ht="13.5" customHeight="1">
      <c r="A130" s="20" t="s">
        <v>126</v>
      </c>
      <c r="B130" s="21" t="s">
        <v>7</v>
      </c>
      <c r="C130" s="95">
        <v>0</v>
      </c>
      <c r="D130" s="95">
        <v>0</v>
      </c>
      <c r="E130" s="95">
        <v>0</v>
      </c>
      <c r="F130" s="95">
        <v>0</v>
      </c>
      <c r="G130" s="95">
        <v>0</v>
      </c>
    </row>
    <row r="131" spans="1:7" ht="39" customHeight="1">
      <c r="A131" s="20" t="s">
        <v>127</v>
      </c>
      <c r="B131" s="21" t="s">
        <v>7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</row>
    <row r="132" spans="1:7" ht="12.75">
      <c r="A132" s="20"/>
      <c r="B132" s="21"/>
      <c r="C132" s="95"/>
      <c r="D132" s="90"/>
      <c r="E132" s="90"/>
      <c r="F132" s="90"/>
      <c r="G132" s="90"/>
    </row>
    <row r="133" spans="1:7" ht="15.75" customHeight="1">
      <c r="A133" s="20" t="s">
        <v>23</v>
      </c>
      <c r="B133" s="21" t="s">
        <v>20</v>
      </c>
      <c r="C133" s="96">
        <v>5883</v>
      </c>
      <c r="D133" s="96">
        <v>9500</v>
      </c>
      <c r="E133" s="96">
        <v>12350</v>
      </c>
      <c r="F133" s="96">
        <v>15919</v>
      </c>
      <c r="G133" s="96">
        <v>20154</v>
      </c>
    </row>
    <row r="134" spans="1:7" ht="12.75">
      <c r="A134" s="20"/>
      <c r="B134" s="21"/>
      <c r="C134" s="96"/>
      <c r="D134" s="96"/>
      <c r="E134" s="96"/>
      <c r="F134" s="96"/>
      <c r="G134" s="96"/>
    </row>
    <row r="135" spans="1:7" ht="25.5" customHeight="1">
      <c r="A135" s="20" t="s">
        <v>22</v>
      </c>
      <c r="B135" s="21" t="s">
        <v>21</v>
      </c>
      <c r="C135" s="96"/>
      <c r="D135" s="96">
        <v>143</v>
      </c>
      <c r="E135" s="97">
        <v>118.2</v>
      </c>
      <c r="F135" s="97">
        <v>119.2</v>
      </c>
      <c r="G135" s="97">
        <f>G133/1.076/F133*100</f>
        <v>117.66118017071085</v>
      </c>
    </row>
    <row r="136" spans="1:7" ht="12.75">
      <c r="A136" s="20"/>
      <c r="B136" s="21"/>
      <c r="C136" s="96"/>
      <c r="D136" s="96"/>
      <c r="E136" s="96"/>
      <c r="F136" s="96"/>
      <c r="G136" s="96"/>
    </row>
    <row r="137" spans="1:7" ht="23.25" customHeight="1">
      <c r="A137" s="20" t="s">
        <v>80</v>
      </c>
      <c r="B137" s="21" t="s">
        <v>24</v>
      </c>
      <c r="C137" s="97">
        <v>706000</v>
      </c>
      <c r="D137" s="96">
        <v>1140000</v>
      </c>
      <c r="E137" s="96">
        <v>1482000</v>
      </c>
      <c r="F137" s="96">
        <v>1910300</v>
      </c>
      <c r="G137" s="96">
        <v>2418400</v>
      </c>
    </row>
    <row r="138" spans="1:7" ht="12.75">
      <c r="A138" s="20"/>
      <c r="B138" s="21"/>
      <c r="C138" s="68"/>
      <c r="D138" s="68"/>
      <c r="E138" s="108"/>
      <c r="F138" s="68"/>
      <c r="G138" s="68"/>
    </row>
    <row r="139" spans="1:7" ht="14.25" customHeight="1">
      <c r="A139" s="24" t="s">
        <v>60</v>
      </c>
      <c r="B139" s="12"/>
      <c r="C139" s="68"/>
      <c r="D139" s="68"/>
      <c r="E139" s="108"/>
      <c r="F139" s="68"/>
      <c r="G139" s="68"/>
    </row>
    <row r="140" spans="1:7" ht="12.75">
      <c r="A140" s="4"/>
      <c r="B140" s="3"/>
      <c r="C140" s="106"/>
      <c r="D140" s="106"/>
      <c r="E140" s="106"/>
      <c r="F140" s="106"/>
      <c r="G140" s="106"/>
    </row>
    <row r="141" spans="1:7" ht="54.75" customHeight="1">
      <c r="A141" s="46" t="s">
        <v>136</v>
      </c>
      <c r="B141" s="16"/>
      <c r="C141" s="98"/>
      <c r="D141" s="98"/>
      <c r="E141" s="98"/>
      <c r="F141" s="98"/>
      <c r="G141" s="98"/>
    </row>
    <row r="142" spans="1:7" ht="12.75">
      <c r="A142" s="48" t="s">
        <v>53</v>
      </c>
      <c r="B142" s="3" t="s">
        <v>3</v>
      </c>
      <c r="C142" s="95">
        <v>2909.1</v>
      </c>
      <c r="D142" s="109">
        <f>C142*1.15</f>
        <v>3345.4649999999997</v>
      </c>
      <c r="E142" s="109">
        <f>D142*1.15</f>
        <v>3847.2847499999993</v>
      </c>
      <c r="F142" s="109">
        <f>E142*1.15</f>
        <v>4424.377462499999</v>
      </c>
      <c r="G142" s="109">
        <f>F142*1.15</f>
        <v>5088.034081874998</v>
      </c>
    </row>
    <row r="143" spans="1:7" ht="12.75">
      <c r="A143" s="48" t="s">
        <v>61</v>
      </c>
      <c r="B143" s="3" t="s">
        <v>8</v>
      </c>
      <c r="C143" s="70"/>
      <c r="D143" s="110">
        <f>D142/1.13/C142*100</f>
        <v>101.76991150442478</v>
      </c>
      <c r="E143" s="111">
        <f>E142/1.1/D142*100</f>
        <v>104.54545454545452</v>
      </c>
      <c r="F143" s="110">
        <f>F142/1.081/E142*100</f>
        <v>106.38297872340425</v>
      </c>
      <c r="G143" s="110">
        <f>G142/1.076/F142*100</f>
        <v>106.87732342007432</v>
      </c>
    </row>
    <row r="144" spans="1:8" ht="12.75">
      <c r="A144" s="50"/>
      <c r="B144" s="3"/>
      <c r="C144" s="70"/>
      <c r="D144" s="70"/>
      <c r="E144" s="70"/>
      <c r="F144" s="70"/>
      <c r="G144" s="70"/>
      <c r="H144" s="64"/>
    </row>
    <row r="145" spans="1:7" ht="12.75">
      <c r="A145" s="46" t="s">
        <v>137</v>
      </c>
      <c r="B145" s="3"/>
      <c r="C145" s="70"/>
      <c r="D145" s="70"/>
      <c r="E145" s="70"/>
      <c r="F145" s="70"/>
      <c r="G145" s="70"/>
    </row>
    <row r="146" spans="1:7" ht="25.5">
      <c r="A146" s="49" t="s">
        <v>138</v>
      </c>
      <c r="B146" s="93" t="s">
        <v>3</v>
      </c>
      <c r="C146" s="98">
        <v>6898</v>
      </c>
      <c r="D146" s="98">
        <v>2645</v>
      </c>
      <c r="E146" s="98">
        <v>2400</v>
      </c>
      <c r="F146" s="98">
        <v>2700</v>
      </c>
      <c r="G146" s="98">
        <v>2700</v>
      </c>
    </row>
    <row r="147" spans="1:7" ht="25.5">
      <c r="A147" s="49" t="s">
        <v>139</v>
      </c>
      <c r="B147" s="93" t="s">
        <v>3</v>
      </c>
      <c r="C147" s="98">
        <v>1110</v>
      </c>
      <c r="D147" s="98">
        <v>361</v>
      </c>
      <c r="E147" s="98">
        <v>382</v>
      </c>
      <c r="F147" s="98">
        <v>405</v>
      </c>
      <c r="G147" s="98">
        <v>432</v>
      </c>
    </row>
    <row r="148" spans="1:7" ht="12.75">
      <c r="A148" s="49" t="s">
        <v>140</v>
      </c>
      <c r="B148" s="93" t="s">
        <v>3</v>
      </c>
      <c r="C148" s="98"/>
      <c r="D148" s="98"/>
      <c r="E148" s="98"/>
      <c r="F148" s="98"/>
      <c r="G148" s="98"/>
    </row>
    <row r="149" spans="1:7" ht="25.5">
      <c r="A149" s="49" t="s">
        <v>141</v>
      </c>
      <c r="B149" s="93" t="s">
        <v>3</v>
      </c>
      <c r="C149" s="98">
        <v>162</v>
      </c>
      <c r="D149" s="98">
        <v>142</v>
      </c>
      <c r="E149" s="98">
        <v>152</v>
      </c>
      <c r="F149" s="98">
        <v>162</v>
      </c>
      <c r="G149" s="98">
        <v>172</v>
      </c>
    </row>
    <row r="150" spans="1:7" ht="38.25">
      <c r="A150" s="49" t="s">
        <v>142</v>
      </c>
      <c r="B150" s="93" t="s">
        <v>3</v>
      </c>
      <c r="C150" s="98">
        <v>26276</v>
      </c>
      <c r="D150" s="98">
        <f>C150+D146-D147-D149</f>
        <v>28418</v>
      </c>
      <c r="E150" s="98">
        <f>D150+E146-E147-E149</f>
        <v>30284</v>
      </c>
      <c r="F150" s="98">
        <f>E150+F146-F147-F149</f>
        <v>32417</v>
      </c>
      <c r="G150" s="98">
        <f>F150+G146-G147-G149</f>
        <v>34513</v>
      </c>
    </row>
    <row r="151" spans="1:7" ht="25.5">
      <c r="A151" s="49" t="s">
        <v>238</v>
      </c>
      <c r="B151" s="93" t="s">
        <v>3</v>
      </c>
      <c r="C151" s="98">
        <v>12875</v>
      </c>
      <c r="D151" s="98">
        <v>14480</v>
      </c>
      <c r="E151" s="98">
        <v>15430</v>
      </c>
      <c r="F151" s="98">
        <v>16500</v>
      </c>
      <c r="G151" s="98">
        <v>17600</v>
      </c>
    </row>
    <row r="152" spans="1:7" ht="25.5">
      <c r="A152" s="49" t="s">
        <v>143</v>
      </c>
      <c r="B152" s="93" t="s">
        <v>3</v>
      </c>
      <c r="C152" s="99">
        <v>13138</v>
      </c>
      <c r="D152" s="112">
        <v>14770</v>
      </c>
      <c r="E152" s="112">
        <v>15700</v>
      </c>
      <c r="F152" s="112">
        <v>16850</v>
      </c>
      <c r="G152" s="112">
        <v>17950</v>
      </c>
    </row>
    <row r="153" spans="1:7" ht="12.75">
      <c r="A153" s="51"/>
      <c r="B153" s="93"/>
      <c r="C153" s="99"/>
      <c r="D153" s="99"/>
      <c r="E153" s="99"/>
      <c r="F153" s="99"/>
      <c r="G153" s="99"/>
    </row>
    <row r="154" spans="1:7" ht="38.25">
      <c r="A154" s="51" t="s">
        <v>144</v>
      </c>
      <c r="B154" s="93"/>
      <c r="C154" s="87"/>
      <c r="D154" s="99"/>
      <c r="E154" s="99"/>
      <c r="F154" s="99"/>
      <c r="G154" s="99"/>
    </row>
    <row r="155" spans="1:7" ht="12.75">
      <c r="A155" s="49" t="s">
        <v>5</v>
      </c>
      <c r="B155" s="93" t="s">
        <v>3</v>
      </c>
      <c r="C155" s="100">
        <v>856.8</v>
      </c>
      <c r="D155" s="113">
        <v>1053.06484</v>
      </c>
      <c r="E155" s="113">
        <v>1237.2551760016004</v>
      </c>
      <c r="F155" s="113">
        <v>1430.5350152386752</v>
      </c>
      <c r="G155" s="113">
        <v>1649.7632195908486</v>
      </c>
    </row>
    <row r="156" spans="1:7" ht="12.75">
      <c r="A156" s="49" t="s">
        <v>145</v>
      </c>
      <c r="B156" s="93" t="s">
        <v>8</v>
      </c>
      <c r="C156" s="101"/>
      <c r="D156" s="114">
        <f>D155/1.155/C155*100</f>
        <v>106.41275095896945</v>
      </c>
      <c r="E156" s="114">
        <f>E155/1.103/D155*100</f>
        <v>106.51938595449799</v>
      </c>
      <c r="F156" s="114">
        <f>F155/1.085/E155*100</f>
        <v>106.56374508722809</v>
      </c>
      <c r="G156" s="114">
        <f>G155/1.081/F155*100</f>
        <v>106.68354306411962</v>
      </c>
    </row>
    <row r="157" spans="1:7" ht="12.75">
      <c r="A157" s="49"/>
      <c r="B157" s="93"/>
      <c r="C157" s="99"/>
      <c r="D157" s="99"/>
      <c r="E157" s="99"/>
      <c r="F157" s="99"/>
      <c r="G157" s="99"/>
    </row>
    <row r="158" spans="1:7" ht="25.5">
      <c r="A158" s="51" t="s">
        <v>146</v>
      </c>
      <c r="B158" s="93"/>
      <c r="C158" s="99"/>
      <c r="D158" s="99"/>
      <c r="E158" s="99"/>
      <c r="F158" s="99"/>
      <c r="G158" s="99"/>
    </row>
    <row r="159" spans="1:7" ht="12.75">
      <c r="A159" s="102" t="s">
        <v>148</v>
      </c>
      <c r="B159" s="93"/>
      <c r="C159" s="99"/>
      <c r="D159" s="99"/>
      <c r="E159" s="99"/>
      <c r="F159" s="99"/>
      <c r="G159" s="99"/>
    </row>
    <row r="160" spans="1:7" ht="12.75">
      <c r="A160" s="49" t="s">
        <v>149</v>
      </c>
      <c r="B160" s="93" t="s">
        <v>147</v>
      </c>
      <c r="C160" s="99">
        <v>30.7</v>
      </c>
      <c r="D160" s="99">
        <v>34.8</v>
      </c>
      <c r="E160" s="99">
        <v>35</v>
      </c>
      <c r="F160" s="99">
        <v>35</v>
      </c>
      <c r="G160" s="99">
        <v>35</v>
      </c>
    </row>
    <row r="161" spans="1:7" ht="12.75">
      <c r="A161" s="48"/>
      <c r="B161" s="3"/>
      <c r="C161" s="71"/>
      <c r="D161" s="115"/>
      <c r="E161" s="115"/>
      <c r="F161" s="115"/>
      <c r="G161" s="115"/>
    </row>
    <row r="162" spans="1:7" ht="12.75">
      <c r="A162" s="24" t="s">
        <v>63</v>
      </c>
      <c r="B162" s="12"/>
      <c r="C162" s="72"/>
      <c r="D162" s="72"/>
      <c r="E162" s="72"/>
      <c r="F162" s="72"/>
      <c r="G162" s="72"/>
    </row>
    <row r="163" spans="1:7" ht="25.5">
      <c r="A163" s="37" t="s">
        <v>239</v>
      </c>
      <c r="B163" s="13" t="s">
        <v>14</v>
      </c>
      <c r="C163" s="80">
        <v>890277</v>
      </c>
      <c r="D163" s="116">
        <v>950000</v>
      </c>
      <c r="E163" s="116">
        <v>1200000</v>
      </c>
      <c r="F163" s="116">
        <v>1521200</v>
      </c>
      <c r="G163" s="116">
        <v>1716600</v>
      </c>
    </row>
    <row r="164" spans="1:7" ht="12.75">
      <c r="A164" s="38" t="s">
        <v>62</v>
      </c>
      <c r="B164" s="13"/>
      <c r="C164" s="80"/>
      <c r="D164" s="72"/>
      <c r="E164" s="72"/>
      <c r="F164" s="72"/>
      <c r="G164" s="72"/>
    </row>
    <row r="165" spans="1:7" ht="12.75" customHeight="1">
      <c r="A165" s="20" t="s">
        <v>64</v>
      </c>
      <c r="B165" s="17" t="s">
        <v>6</v>
      </c>
      <c r="C165" s="81">
        <v>0</v>
      </c>
      <c r="D165" s="68">
        <v>0</v>
      </c>
      <c r="E165" s="68">
        <v>0</v>
      </c>
      <c r="F165" s="68">
        <v>0</v>
      </c>
      <c r="G165" s="68">
        <v>0</v>
      </c>
    </row>
    <row r="166" spans="1:7" ht="12.75">
      <c r="A166" s="20" t="s">
        <v>42</v>
      </c>
      <c r="B166" s="17" t="s">
        <v>6</v>
      </c>
      <c r="C166" s="81"/>
      <c r="D166" s="68"/>
      <c r="E166" s="68"/>
      <c r="F166" s="68"/>
      <c r="G166" s="68"/>
    </row>
    <row r="167" spans="1:7" ht="12.75">
      <c r="A167" s="20" t="s">
        <v>43</v>
      </c>
      <c r="B167" s="17" t="s">
        <v>6</v>
      </c>
      <c r="C167" s="81">
        <v>69744</v>
      </c>
      <c r="D167" s="117">
        <f>C167/C163*D163</f>
        <v>74422.67968284029</v>
      </c>
      <c r="E167" s="117">
        <f>D167/D163*E163</f>
        <v>94007.5953888509</v>
      </c>
      <c r="F167" s="117">
        <f>E167/E163*F163</f>
        <v>119170.29508793331</v>
      </c>
      <c r="G167" s="117">
        <f>F167/F163*G163</f>
        <v>134477.8652037512</v>
      </c>
    </row>
    <row r="168" spans="1:7" ht="25.5">
      <c r="A168" s="20" t="s">
        <v>44</v>
      </c>
      <c r="B168" s="17" t="s">
        <v>6</v>
      </c>
      <c r="C168" s="82">
        <v>9237</v>
      </c>
      <c r="D168" s="118">
        <v>5000</v>
      </c>
      <c r="E168" s="118">
        <v>8000</v>
      </c>
      <c r="F168" s="118">
        <v>15000</v>
      </c>
      <c r="G168" s="118">
        <v>19000</v>
      </c>
    </row>
    <row r="169" spans="1:7" ht="12.75">
      <c r="A169" s="20" t="s">
        <v>45</v>
      </c>
      <c r="B169" s="17" t="s">
        <v>6</v>
      </c>
      <c r="C169" s="82">
        <v>6248</v>
      </c>
      <c r="D169" s="118">
        <f>C169/C163*D163</f>
        <v>6667.138429949331</v>
      </c>
      <c r="E169" s="118">
        <f>D169/D163*E163</f>
        <v>8421.648543093892</v>
      </c>
      <c r="F169" s="118">
        <f>E169/E163*F163</f>
        <v>10675.843136462025</v>
      </c>
      <c r="G169" s="118">
        <f>F169/F163*G163</f>
        <v>12047.168240895813</v>
      </c>
    </row>
    <row r="170" spans="1:7" ht="38.25">
      <c r="A170" s="20" t="s">
        <v>65</v>
      </c>
      <c r="B170" s="17" t="s">
        <v>6</v>
      </c>
      <c r="C170" s="80">
        <v>8576</v>
      </c>
      <c r="D170" s="116">
        <f>C170/C163*D163</f>
        <v>9151.309086947096</v>
      </c>
      <c r="E170" s="116">
        <f>D170/D163*E163</f>
        <v>11559.548320354226</v>
      </c>
      <c r="F170" s="116">
        <f>E170/E163*F163</f>
        <v>14653.654087435707</v>
      </c>
      <c r="G170" s="116">
        <f>F170/F163*G163</f>
        <v>16535.93387226672</v>
      </c>
    </row>
    <row r="171" spans="1:7" ht="12.75">
      <c r="A171" s="20" t="s">
        <v>47</v>
      </c>
      <c r="B171" s="17" t="s">
        <v>6</v>
      </c>
      <c r="C171" s="80">
        <v>1123</v>
      </c>
      <c r="D171" s="72">
        <v>1300</v>
      </c>
      <c r="E171" s="72">
        <v>1500</v>
      </c>
      <c r="F171" s="72">
        <v>1800</v>
      </c>
      <c r="G171" s="72">
        <v>2000</v>
      </c>
    </row>
    <row r="172" spans="1:7" ht="12.75">
      <c r="A172" s="20" t="s">
        <v>66</v>
      </c>
      <c r="B172" s="17" t="s">
        <v>6</v>
      </c>
      <c r="C172" s="80">
        <v>0</v>
      </c>
      <c r="D172" s="72">
        <v>0</v>
      </c>
      <c r="E172" s="72">
        <v>0</v>
      </c>
      <c r="F172" s="72">
        <v>0</v>
      </c>
      <c r="G172" s="72">
        <v>0</v>
      </c>
    </row>
    <row r="173" spans="1:7" ht="12.75">
      <c r="A173" s="38" t="s">
        <v>67</v>
      </c>
      <c r="B173" s="17" t="s">
        <v>6</v>
      </c>
      <c r="C173" s="81">
        <f>C163-C165-C167-C168-C169-C170-C171-C172</f>
        <v>795349</v>
      </c>
      <c r="D173" s="117">
        <f>D163-D165-D167-D168-D169-D170-D171-D172</f>
        <v>853458.8728002633</v>
      </c>
      <c r="E173" s="117">
        <f>E163-E165-E167-E168-E169-E170-E171-E172</f>
        <v>1076511.207747701</v>
      </c>
      <c r="F173" s="117">
        <f>F163-F165-F167-F168-F169-F170-F171-F172</f>
        <v>1359900.207688169</v>
      </c>
      <c r="G173" s="117">
        <f>G163-G165-G167-G168-G169-G170-G171-G172</f>
        <v>1532539.0326830863</v>
      </c>
    </row>
    <row r="174" spans="1:7" ht="12.75">
      <c r="A174" s="38"/>
      <c r="B174" s="17"/>
      <c r="C174" s="73"/>
      <c r="D174" s="73"/>
      <c r="E174" s="73"/>
      <c r="F174" s="73"/>
      <c r="G174" s="73"/>
    </row>
    <row r="175" spans="1:7" ht="12.75">
      <c r="A175" s="37" t="s">
        <v>240</v>
      </c>
      <c r="B175" s="13" t="s">
        <v>14</v>
      </c>
      <c r="C175" s="81">
        <f>C163-C187</f>
        <v>58348</v>
      </c>
      <c r="D175" s="68">
        <v>0</v>
      </c>
      <c r="E175" s="68">
        <v>0</v>
      </c>
      <c r="F175" s="68">
        <v>0</v>
      </c>
      <c r="G175" s="68">
        <v>0</v>
      </c>
    </row>
    <row r="176" spans="1:7" ht="12.75">
      <c r="A176" s="38" t="s">
        <v>62</v>
      </c>
      <c r="B176" s="17"/>
      <c r="C176" s="81"/>
      <c r="D176" s="68"/>
      <c r="E176" s="68"/>
      <c r="F176" s="68"/>
      <c r="G176" s="68"/>
    </row>
    <row r="177" spans="1:7" ht="12.75">
      <c r="A177" s="20" t="s">
        <v>64</v>
      </c>
      <c r="B177" s="17" t="s">
        <v>6</v>
      </c>
      <c r="C177" s="81">
        <v>0</v>
      </c>
      <c r="D177" s="68">
        <v>0</v>
      </c>
      <c r="E177" s="68">
        <v>0</v>
      </c>
      <c r="F177" s="68">
        <v>0</v>
      </c>
      <c r="G177" s="68">
        <v>0</v>
      </c>
    </row>
    <row r="178" spans="1:7" ht="12.75">
      <c r="A178" s="20" t="s">
        <v>42</v>
      </c>
      <c r="B178" s="17" t="s">
        <v>6</v>
      </c>
      <c r="C178" s="81"/>
      <c r="D178" s="68"/>
      <c r="E178" s="68"/>
      <c r="F178" s="68"/>
      <c r="G178" s="68"/>
    </row>
    <row r="179" spans="1:7" ht="12.75">
      <c r="A179" s="20" t="s">
        <v>43</v>
      </c>
      <c r="B179" s="17" t="s">
        <v>6</v>
      </c>
      <c r="C179" s="81">
        <f>C167-C191</f>
        <v>2670</v>
      </c>
      <c r="D179" s="68">
        <v>0</v>
      </c>
      <c r="E179" s="68">
        <v>0</v>
      </c>
      <c r="F179" s="68">
        <v>0</v>
      </c>
      <c r="G179" s="68">
        <v>0</v>
      </c>
    </row>
    <row r="180" spans="1:7" ht="25.5">
      <c r="A180" s="20" t="s">
        <v>44</v>
      </c>
      <c r="B180" s="17" t="s">
        <v>6</v>
      </c>
      <c r="C180" s="81">
        <f>C168-C192</f>
        <v>0</v>
      </c>
      <c r="D180" s="68">
        <v>0</v>
      </c>
      <c r="E180" s="68">
        <v>0</v>
      </c>
      <c r="F180" s="68">
        <v>0</v>
      </c>
      <c r="G180" s="68">
        <v>0</v>
      </c>
    </row>
    <row r="181" spans="1:7" ht="12.75">
      <c r="A181" s="20" t="s">
        <v>45</v>
      </c>
      <c r="B181" s="17" t="s">
        <v>6</v>
      </c>
      <c r="C181" s="81">
        <f>C169-C193</f>
        <v>9433</v>
      </c>
      <c r="D181" s="68">
        <v>0</v>
      </c>
      <c r="E181" s="68">
        <v>0</v>
      </c>
      <c r="F181" s="68">
        <v>0</v>
      </c>
      <c r="G181" s="68">
        <v>0</v>
      </c>
    </row>
    <row r="182" spans="1:7" ht="38.25">
      <c r="A182" s="20" t="s">
        <v>65</v>
      </c>
      <c r="B182" s="17" t="s">
        <v>6</v>
      </c>
      <c r="C182" s="82">
        <f>C170-C194</f>
        <v>44607</v>
      </c>
      <c r="D182" s="68">
        <v>0</v>
      </c>
      <c r="E182" s="68">
        <v>0</v>
      </c>
      <c r="F182" s="68">
        <v>0</v>
      </c>
      <c r="G182" s="68">
        <v>0</v>
      </c>
    </row>
    <row r="183" spans="1:7" ht="12.75">
      <c r="A183" s="20" t="s">
        <v>47</v>
      </c>
      <c r="B183" s="17" t="s">
        <v>6</v>
      </c>
      <c r="C183" s="81">
        <f>C171-C195</f>
        <v>0</v>
      </c>
      <c r="D183" s="68">
        <v>0</v>
      </c>
      <c r="E183" s="68">
        <v>0</v>
      </c>
      <c r="F183" s="68">
        <v>0</v>
      </c>
      <c r="G183" s="68">
        <v>0</v>
      </c>
    </row>
    <row r="184" spans="1:7" ht="12.75">
      <c r="A184" s="20" t="s">
        <v>66</v>
      </c>
      <c r="B184" s="17" t="s">
        <v>6</v>
      </c>
      <c r="C184" s="81"/>
      <c r="D184" s="68"/>
      <c r="E184" s="68"/>
      <c r="F184" s="68"/>
      <c r="G184" s="68"/>
    </row>
    <row r="185" spans="1:7" ht="12.75">
      <c r="A185" s="38" t="s">
        <v>67</v>
      </c>
      <c r="B185" s="17" t="s">
        <v>6</v>
      </c>
      <c r="C185" s="81">
        <f>C173-C197</f>
        <v>1638</v>
      </c>
      <c r="D185" s="68">
        <v>0</v>
      </c>
      <c r="E185" s="68">
        <v>0</v>
      </c>
      <c r="F185" s="68">
        <v>0</v>
      </c>
      <c r="G185" s="68">
        <v>0</v>
      </c>
    </row>
    <row r="186" spans="1:7" ht="12.75">
      <c r="A186" s="38"/>
      <c r="B186" s="17"/>
      <c r="C186" s="81"/>
      <c r="D186" s="68"/>
      <c r="E186" s="68"/>
      <c r="F186" s="68"/>
      <c r="G186" s="68"/>
    </row>
    <row r="187" spans="1:7" ht="12.75">
      <c r="A187" s="6" t="s">
        <v>241</v>
      </c>
      <c r="B187" s="3" t="s">
        <v>14</v>
      </c>
      <c r="C187" s="81">
        <v>831929</v>
      </c>
      <c r="D187" s="116">
        <v>950000</v>
      </c>
      <c r="E187" s="116">
        <v>1200000</v>
      </c>
      <c r="F187" s="116">
        <v>1521200</v>
      </c>
      <c r="G187" s="116">
        <v>1716600</v>
      </c>
    </row>
    <row r="188" spans="1:7" ht="12.75">
      <c r="A188" s="38" t="s">
        <v>62</v>
      </c>
      <c r="B188" s="14"/>
      <c r="C188" s="81"/>
      <c r="D188" s="72"/>
      <c r="E188" s="72"/>
      <c r="F188" s="72"/>
      <c r="G188" s="72"/>
    </row>
    <row r="189" spans="1:7" ht="12.75">
      <c r="A189" s="20" t="s">
        <v>64</v>
      </c>
      <c r="B189" s="14"/>
      <c r="C189" s="81">
        <v>0</v>
      </c>
      <c r="D189" s="68">
        <v>0</v>
      </c>
      <c r="E189" s="68">
        <v>0</v>
      </c>
      <c r="F189" s="68">
        <v>0</v>
      </c>
      <c r="G189" s="68">
        <v>0</v>
      </c>
    </row>
    <row r="190" spans="1:7" ht="12.75">
      <c r="A190" s="20" t="s">
        <v>42</v>
      </c>
      <c r="B190" s="14" t="s">
        <v>6</v>
      </c>
      <c r="C190" s="81"/>
      <c r="D190" s="68"/>
      <c r="E190" s="68"/>
      <c r="F190" s="68"/>
      <c r="G190" s="68"/>
    </row>
    <row r="191" spans="1:7" ht="12.75">
      <c r="A191" s="20" t="s">
        <v>43</v>
      </c>
      <c r="B191" s="14" t="s">
        <v>6</v>
      </c>
      <c r="C191" s="81">
        <v>67074</v>
      </c>
      <c r="D191" s="68">
        <v>0</v>
      </c>
      <c r="E191" s="68">
        <v>0</v>
      </c>
      <c r="F191" s="68">
        <v>0</v>
      </c>
      <c r="G191" s="68">
        <v>0</v>
      </c>
    </row>
    <row r="192" spans="1:7" ht="25.5">
      <c r="A192" s="20" t="s">
        <v>44</v>
      </c>
      <c r="B192" s="14" t="s">
        <v>6</v>
      </c>
      <c r="C192" s="81">
        <v>9237</v>
      </c>
      <c r="D192" s="68"/>
      <c r="E192" s="68"/>
      <c r="F192" s="68"/>
      <c r="G192" s="68"/>
    </row>
    <row r="193" spans="1:7" ht="12.75">
      <c r="A193" s="20" t="s">
        <v>45</v>
      </c>
      <c r="B193" s="14" t="s">
        <v>6</v>
      </c>
      <c r="C193" s="81">
        <v>-3185</v>
      </c>
      <c r="D193" s="68">
        <v>0</v>
      </c>
      <c r="E193" s="68">
        <v>0</v>
      </c>
      <c r="F193" s="68">
        <v>0</v>
      </c>
      <c r="G193" s="68">
        <v>0</v>
      </c>
    </row>
    <row r="194" spans="1:7" ht="38.25">
      <c r="A194" s="20" t="s">
        <v>65</v>
      </c>
      <c r="B194" s="14" t="s">
        <v>6</v>
      </c>
      <c r="C194" s="82">
        <v>-36031</v>
      </c>
      <c r="D194" s="68"/>
      <c r="E194" s="68"/>
      <c r="F194" s="68"/>
      <c r="G194" s="68"/>
    </row>
    <row r="195" spans="1:7" ht="12.75">
      <c r="A195" s="20" t="s">
        <v>47</v>
      </c>
      <c r="B195" s="14" t="s">
        <v>6</v>
      </c>
      <c r="C195" s="81">
        <v>1123</v>
      </c>
      <c r="D195" s="68">
        <v>0</v>
      </c>
      <c r="E195" s="68">
        <v>0</v>
      </c>
      <c r="F195" s="68">
        <v>0</v>
      </c>
      <c r="G195" s="68">
        <v>0</v>
      </c>
    </row>
    <row r="196" spans="1:7" ht="12.75">
      <c r="A196" s="20" t="s">
        <v>66</v>
      </c>
      <c r="B196" s="14" t="s">
        <v>6</v>
      </c>
      <c r="C196" s="81">
        <v>0</v>
      </c>
      <c r="D196" s="68">
        <v>0</v>
      </c>
      <c r="E196" s="68">
        <v>0</v>
      </c>
      <c r="F196" s="68">
        <v>0</v>
      </c>
      <c r="G196" s="68">
        <v>0</v>
      </c>
    </row>
    <row r="197" spans="1:7" ht="12.75">
      <c r="A197" s="38" t="s">
        <v>67</v>
      </c>
      <c r="B197" s="14" t="s">
        <v>6</v>
      </c>
      <c r="C197" s="81">
        <f>C187-C191-C192-C193-C194-C195-C196</f>
        <v>793711</v>
      </c>
      <c r="D197" s="68">
        <v>0</v>
      </c>
      <c r="E197" s="68">
        <v>0</v>
      </c>
      <c r="F197" s="68">
        <v>0</v>
      </c>
      <c r="G197" s="68">
        <v>0</v>
      </c>
    </row>
    <row r="198" spans="1:7" ht="12.75">
      <c r="A198" s="38"/>
      <c r="B198" s="14"/>
      <c r="C198" s="73"/>
      <c r="D198" s="68">
        <v>0</v>
      </c>
      <c r="E198" s="68">
        <v>0</v>
      </c>
      <c r="F198" s="68">
        <v>0</v>
      </c>
      <c r="G198" s="68">
        <v>0</v>
      </c>
    </row>
    <row r="199" spans="1:7" ht="12.75">
      <c r="A199" s="39"/>
      <c r="B199" s="3"/>
      <c r="C199" s="30"/>
      <c r="D199" s="68"/>
      <c r="E199" s="68"/>
      <c r="F199" s="68"/>
      <c r="G199" s="68"/>
    </row>
    <row r="200" spans="1:7" ht="12.75">
      <c r="A200" s="85" t="s">
        <v>132</v>
      </c>
      <c r="B200" s="86" t="s">
        <v>3</v>
      </c>
      <c r="C200" s="87">
        <v>1025</v>
      </c>
      <c r="D200" s="68">
        <v>1100</v>
      </c>
      <c r="E200" s="68">
        <v>1180</v>
      </c>
      <c r="F200" s="68">
        <v>1260</v>
      </c>
      <c r="G200" s="68">
        <v>1370</v>
      </c>
    </row>
    <row r="201" spans="1:7" ht="12.75">
      <c r="A201" s="85"/>
      <c r="B201" s="86"/>
      <c r="C201" s="89"/>
      <c r="D201" s="90"/>
      <c r="E201" s="90"/>
      <c r="F201" s="90"/>
      <c r="G201" s="90"/>
    </row>
    <row r="202" spans="1:7" ht="16.5" customHeight="1">
      <c r="A202" s="11" t="s">
        <v>68</v>
      </c>
      <c r="B202" s="91"/>
      <c r="C202" s="92"/>
      <c r="D202" s="88"/>
      <c r="E202" s="88"/>
      <c r="F202" s="90"/>
      <c r="G202" s="90"/>
    </row>
    <row r="203" spans="1:7" ht="12.75">
      <c r="A203" s="36"/>
      <c r="B203" s="91"/>
      <c r="C203" s="92"/>
      <c r="D203" s="88"/>
      <c r="E203" s="88"/>
      <c r="F203" s="90"/>
      <c r="G203" s="90"/>
    </row>
    <row r="204" spans="1:7" ht="12.75">
      <c r="A204" s="36" t="s">
        <v>69</v>
      </c>
      <c r="B204" s="93" t="s">
        <v>10</v>
      </c>
      <c r="C204" s="92">
        <v>10835.1</v>
      </c>
      <c r="D204" s="119">
        <v>13305</v>
      </c>
      <c r="E204" s="119">
        <v>16517.6</v>
      </c>
      <c r="F204" s="95">
        <v>20538.5</v>
      </c>
      <c r="G204" s="95">
        <v>25272.9</v>
      </c>
    </row>
    <row r="205" spans="1:7" ht="12.75">
      <c r="A205" s="36" t="s">
        <v>70</v>
      </c>
      <c r="B205" s="93" t="s">
        <v>10</v>
      </c>
      <c r="C205" s="94">
        <v>10485.1</v>
      </c>
      <c r="D205" s="96">
        <v>12875</v>
      </c>
      <c r="E205" s="96">
        <v>15984.48</v>
      </c>
      <c r="F205" s="96">
        <v>19879.5</v>
      </c>
      <c r="G205" s="96">
        <v>24459.9</v>
      </c>
    </row>
    <row r="206" spans="1:7" ht="12.75">
      <c r="A206" s="36" t="s">
        <v>71</v>
      </c>
      <c r="B206" s="93" t="s">
        <v>10</v>
      </c>
      <c r="C206" s="92">
        <v>350</v>
      </c>
      <c r="D206" s="96">
        <v>430</v>
      </c>
      <c r="E206" s="96">
        <v>533.12</v>
      </c>
      <c r="F206" s="96">
        <v>659</v>
      </c>
      <c r="G206" s="97">
        <v>813</v>
      </c>
    </row>
    <row r="207" spans="1:7" ht="39.75" customHeight="1">
      <c r="A207" s="36" t="s">
        <v>83</v>
      </c>
      <c r="B207" s="93" t="s">
        <v>11</v>
      </c>
      <c r="C207" s="92">
        <v>111.3</v>
      </c>
      <c r="D207" s="96">
        <v>108.6</v>
      </c>
      <c r="E207" s="96">
        <v>112.8</v>
      </c>
      <c r="F207" s="96">
        <v>115</v>
      </c>
      <c r="G207" s="96">
        <v>114.3</v>
      </c>
    </row>
    <row r="208" spans="1:7" ht="14.25" customHeight="1">
      <c r="A208" s="36" t="s">
        <v>130</v>
      </c>
      <c r="B208" s="93" t="s">
        <v>16</v>
      </c>
      <c r="C208" s="92">
        <v>10200</v>
      </c>
      <c r="D208" s="96">
        <v>12514</v>
      </c>
      <c r="E208" s="96">
        <v>15527</v>
      </c>
      <c r="F208" s="96">
        <v>19296</v>
      </c>
      <c r="G208" s="96">
        <v>23730</v>
      </c>
    </row>
    <row r="209" spans="1:7" ht="12.75">
      <c r="A209" s="36"/>
      <c r="B209" s="3"/>
      <c r="C209" s="31"/>
      <c r="D209" s="72"/>
      <c r="E209" s="72"/>
      <c r="F209" s="72"/>
      <c r="G209" s="72"/>
    </row>
    <row r="210" spans="1:7" ht="12.75">
      <c r="A210" s="40" t="s">
        <v>133</v>
      </c>
      <c r="B210" s="86" t="s">
        <v>10</v>
      </c>
      <c r="C210" s="94">
        <v>7411.1</v>
      </c>
      <c r="D210" s="89">
        <v>9453.5</v>
      </c>
      <c r="E210" s="89">
        <v>12264.5</v>
      </c>
      <c r="F210" s="89">
        <v>15809</v>
      </c>
      <c r="G210" s="89">
        <v>20014</v>
      </c>
    </row>
    <row r="211" spans="1:7" ht="12.75">
      <c r="A211" s="8" t="s">
        <v>62</v>
      </c>
      <c r="B211" s="13"/>
      <c r="C211" s="31"/>
      <c r="D211" s="30"/>
      <c r="E211" s="30"/>
      <c r="F211" s="30"/>
      <c r="G211" s="30"/>
    </row>
    <row r="212" spans="1:7" ht="12.75">
      <c r="A212" s="20" t="s">
        <v>84</v>
      </c>
      <c r="B212" s="13" t="s">
        <v>10</v>
      </c>
      <c r="C212" s="31">
        <v>2.1</v>
      </c>
      <c r="D212" s="30">
        <v>2.7</v>
      </c>
      <c r="E212" s="30">
        <v>3.5</v>
      </c>
      <c r="F212" s="30">
        <v>4.5</v>
      </c>
      <c r="G212" s="30">
        <v>5.7</v>
      </c>
    </row>
    <row r="213" spans="1:7" ht="12.75">
      <c r="A213" s="20" t="s">
        <v>42</v>
      </c>
      <c r="B213" s="13" t="s">
        <v>10</v>
      </c>
      <c r="C213" s="31"/>
      <c r="D213" s="30"/>
      <c r="E213" s="30"/>
      <c r="F213" s="30"/>
      <c r="G213" s="30"/>
    </row>
    <row r="214" spans="1:7" ht="12.75">
      <c r="A214" s="20" t="s">
        <v>43</v>
      </c>
      <c r="B214" s="13" t="s">
        <v>10</v>
      </c>
      <c r="C214" s="31">
        <v>212</v>
      </c>
      <c r="D214" s="31">
        <v>270.4</v>
      </c>
      <c r="E214" s="31">
        <v>350.8</v>
      </c>
      <c r="F214" s="31">
        <v>452.2</v>
      </c>
      <c r="G214" s="31">
        <v>572.5</v>
      </c>
    </row>
    <row r="215" spans="1:7" ht="25.5">
      <c r="A215" s="20" t="s">
        <v>44</v>
      </c>
      <c r="B215" s="13" t="s">
        <v>10</v>
      </c>
      <c r="C215" s="31">
        <v>57.5</v>
      </c>
      <c r="D215" s="31">
        <v>73.3</v>
      </c>
      <c r="E215" s="31">
        <v>95.2</v>
      </c>
      <c r="F215" s="31">
        <v>122.7</v>
      </c>
      <c r="G215" s="31">
        <v>155.3</v>
      </c>
    </row>
    <row r="216" spans="1:7" ht="12.75">
      <c r="A216" s="20" t="s">
        <v>45</v>
      </c>
      <c r="B216" s="13" t="s">
        <v>10</v>
      </c>
      <c r="C216" s="31">
        <v>171.6</v>
      </c>
      <c r="D216" s="31">
        <v>218.9</v>
      </c>
      <c r="E216" s="31">
        <v>284</v>
      </c>
      <c r="F216" s="31">
        <v>366</v>
      </c>
      <c r="G216" s="31">
        <v>463.4</v>
      </c>
    </row>
    <row r="217" spans="1:7" ht="38.25">
      <c r="A217" s="20" t="s">
        <v>65</v>
      </c>
      <c r="B217" s="13" t="s">
        <v>10</v>
      </c>
      <c r="C217" s="31">
        <v>1355.1</v>
      </c>
      <c r="D217" s="31">
        <v>1728.5</v>
      </c>
      <c r="E217" s="31">
        <v>2242.5</v>
      </c>
      <c r="F217" s="31">
        <v>2890.6</v>
      </c>
      <c r="G217" s="31">
        <v>3659.5</v>
      </c>
    </row>
    <row r="218" spans="1:7" ht="12.75">
      <c r="A218" s="20" t="s">
        <v>47</v>
      </c>
      <c r="B218" s="13" t="s">
        <v>10</v>
      </c>
      <c r="C218" s="31">
        <v>58.8</v>
      </c>
      <c r="D218" s="31">
        <v>75</v>
      </c>
      <c r="E218" s="31">
        <v>97.3</v>
      </c>
      <c r="F218" s="31">
        <v>125.4</v>
      </c>
      <c r="G218" s="31">
        <v>158.8</v>
      </c>
    </row>
    <row r="219" spans="1:7" ht="12.75">
      <c r="A219" s="20" t="s">
        <v>72</v>
      </c>
      <c r="B219" s="13" t="s">
        <v>10</v>
      </c>
      <c r="C219" s="31">
        <v>160.5</v>
      </c>
      <c r="D219" s="31">
        <v>204.7</v>
      </c>
      <c r="E219" s="31">
        <v>265.6</v>
      </c>
      <c r="F219" s="31">
        <v>342.4</v>
      </c>
      <c r="G219" s="31">
        <v>433.4</v>
      </c>
    </row>
    <row r="220" spans="1:7" ht="12.75">
      <c r="A220" s="20" t="s">
        <v>49</v>
      </c>
      <c r="B220" s="13" t="s">
        <v>10</v>
      </c>
      <c r="C220" s="31">
        <v>481.1</v>
      </c>
      <c r="D220" s="31">
        <v>613.7</v>
      </c>
      <c r="E220" s="31">
        <v>796.2</v>
      </c>
      <c r="F220" s="31">
        <v>1026.3</v>
      </c>
      <c r="G220" s="31">
        <v>1299.2</v>
      </c>
    </row>
    <row r="221" spans="1:7" ht="25.5">
      <c r="A221" s="20" t="s">
        <v>73</v>
      </c>
      <c r="B221" s="13" t="s">
        <v>10</v>
      </c>
      <c r="C221" s="31">
        <v>265.1</v>
      </c>
      <c r="D221" s="31">
        <v>338.2</v>
      </c>
      <c r="E221" s="31">
        <v>438.7</v>
      </c>
      <c r="F221" s="31">
        <v>565.5</v>
      </c>
      <c r="G221" s="31">
        <v>715.9</v>
      </c>
    </row>
    <row r="222" spans="1:7" ht="12.75">
      <c r="A222" s="20" t="s">
        <v>67</v>
      </c>
      <c r="B222" s="13" t="s">
        <v>10</v>
      </c>
      <c r="C222" s="31">
        <v>4647.3</v>
      </c>
      <c r="D222" s="31">
        <v>5928</v>
      </c>
      <c r="E222" s="31">
        <v>7690.7</v>
      </c>
      <c r="F222" s="31">
        <v>9913.4</v>
      </c>
      <c r="G222" s="31">
        <v>12550.2</v>
      </c>
    </row>
    <row r="223" spans="1:7" ht="38.25">
      <c r="A223" s="41" t="s">
        <v>131</v>
      </c>
      <c r="B223" s="13" t="s">
        <v>10</v>
      </c>
      <c r="C223" s="31">
        <v>905.5</v>
      </c>
      <c r="D223" s="31">
        <v>1029.5</v>
      </c>
      <c r="E223" s="31">
        <v>1230</v>
      </c>
      <c r="F223" s="31">
        <v>1585.5</v>
      </c>
      <c r="G223" s="31">
        <v>2007</v>
      </c>
    </row>
    <row r="224" spans="1:7" ht="25.5">
      <c r="A224" s="41" t="s">
        <v>244</v>
      </c>
      <c r="B224" s="13" t="s">
        <v>10</v>
      </c>
      <c r="C224" s="31">
        <v>905.5</v>
      </c>
      <c r="D224" s="31">
        <v>1029.5</v>
      </c>
      <c r="E224" s="31">
        <v>1230</v>
      </c>
      <c r="F224" s="31">
        <v>1585.5</v>
      </c>
      <c r="G224" s="31">
        <v>2007</v>
      </c>
    </row>
    <row r="225" spans="1:7" ht="12.75">
      <c r="A225" s="41"/>
      <c r="B225" s="13"/>
      <c r="C225" s="31"/>
      <c r="D225" s="31"/>
      <c r="E225" s="31"/>
      <c r="F225" s="31"/>
      <c r="G225" s="31"/>
    </row>
    <row r="226" spans="1:7" ht="25.5">
      <c r="A226" s="33" t="s">
        <v>134</v>
      </c>
      <c r="B226" s="86" t="s">
        <v>7</v>
      </c>
      <c r="C226" s="92">
        <v>49.8</v>
      </c>
      <c r="D226" s="92">
        <v>49.75</v>
      </c>
      <c r="E226" s="92">
        <v>49.65</v>
      </c>
      <c r="F226" s="92">
        <v>49.65</v>
      </c>
      <c r="G226" s="92">
        <v>49.65</v>
      </c>
    </row>
    <row r="227" spans="1:7" ht="12.75">
      <c r="A227" s="8" t="s">
        <v>62</v>
      </c>
      <c r="B227" s="14"/>
      <c r="C227" s="120"/>
      <c r="D227" s="120"/>
      <c r="E227" s="120"/>
      <c r="F227" s="120"/>
      <c r="G227" s="120"/>
    </row>
    <row r="228" spans="1:7" ht="12.75">
      <c r="A228" s="20" t="s">
        <v>64</v>
      </c>
      <c r="B228" s="13" t="s">
        <v>7</v>
      </c>
      <c r="C228" s="31">
        <v>0.02</v>
      </c>
      <c r="D228" s="31">
        <v>0.02</v>
      </c>
      <c r="E228" s="31">
        <v>0.02</v>
      </c>
      <c r="F228" s="31">
        <v>0.02</v>
      </c>
      <c r="G228" s="31">
        <v>0.02</v>
      </c>
    </row>
    <row r="229" spans="1:7" ht="12.75">
      <c r="A229" s="20" t="s">
        <v>42</v>
      </c>
      <c r="B229" s="13" t="s">
        <v>7</v>
      </c>
      <c r="C229" s="31"/>
      <c r="D229" s="31"/>
      <c r="E229" s="31"/>
      <c r="F229" s="31"/>
      <c r="G229" s="31"/>
    </row>
    <row r="230" spans="1:7" ht="12.75">
      <c r="A230" s="20" t="s">
        <v>43</v>
      </c>
      <c r="B230" s="13" t="s">
        <v>7</v>
      </c>
      <c r="C230" s="31">
        <v>1.4</v>
      </c>
      <c r="D230" s="31">
        <v>1.4</v>
      </c>
      <c r="E230" s="31">
        <v>1.4</v>
      </c>
      <c r="F230" s="31">
        <v>1.4</v>
      </c>
      <c r="G230" s="31">
        <v>1.4</v>
      </c>
    </row>
    <row r="231" spans="1:7" ht="25.5">
      <c r="A231" s="20" t="s">
        <v>44</v>
      </c>
      <c r="B231" s="13" t="s">
        <v>7</v>
      </c>
      <c r="C231" s="31">
        <v>0.42</v>
      </c>
      <c r="D231" s="31">
        <v>0.42</v>
      </c>
      <c r="E231" s="31">
        <v>0.43</v>
      </c>
      <c r="F231" s="31">
        <v>0.43</v>
      </c>
      <c r="G231" s="31">
        <v>0.43</v>
      </c>
    </row>
    <row r="232" spans="1:7" ht="12.75">
      <c r="A232" s="20" t="s">
        <v>45</v>
      </c>
      <c r="B232" s="13" t="s">
        <v>7</v>
      </c>
      <c r="C232" s="68">
        <v>1.11</v>
      </c>
      <c r="D232" s="31">
        <v>1.2</v>
      </c>
      <c r="E232" s="31">
        <v>1.2</v>
      </c>
      <c r="F232" s="31">
        <v>1.2</v>
      </c>
      <c r="G232" s="31">
        <v>1.2</v>
      </c>
    </row>
    <row r="233" spans="1:7" ht="38.25">
      <c r="A233" s="20" t="s">
        <v>65</v>
      </c>
      <c r="B233" s="13" t="s">
        <v>7</v>
      </c>
      <c r="C233" s="68">
        <v>13.7</v>
      </c>
      <c r="D233" s="31">
        <v>14</v>
      </c>
      <c r="E233" s="31">
        <v>14.3</v>
      </c>
      <c r="F233" s="31">
        <v>14.7</v>
      </c>
      <c r="G233" s="31">
        <v>14.7</v>
      </c>
    </row>
    <row r="234" spans="1:7" ht="12.75">
      <c r="A234" s="20" t="s">
        <v>47</v>
      </c>
      <c r="B234" s="13" t="s">
        <v>7</v>
      </c>
      <c r="C234" s="68">
        <v>0.53</v>
      </c>
      <c r="D234" s="31">
        <v>0.54</v>
      </c>
      <c r="E234" s="31">
        <v>0.55</v>
      </c>
      <c r="F234" s="31">
        <v>0.55</v>
      </c>
      <c r="G234" s="31">
        <v>0.55</v>
      </c>
    </row>
    <row r="235" spans="1:7" ht="12.75">
      <c r="A235" s="20" t="s">
        <v>72</v>
      </c>
      <c r="B235" s="13" t="s">
        <v>7</v>
      </c>
      <c r="C235" s="68">
        <v>0.51</v>
      </c>
      <c r="D235" s="31">
        <v>0.52</v>
      </c>
      <c r="E235" s="31">
        <v>0.52</v>
      </c>
      <c r="F235" s="31">
        <v>0.52</v>
      </c>
      <c r="G235" s="31">
        <v>0.52</v>
      </c>
    </row>
    <row r="236" spans="1:7" ht="12.75">
      <c r="A236" s="20" t="s">
        <v>49</v>
      </c>
      <c r="B236" s="13" t="s">
        <v>7</v>
      </c>
      <c r="C236" s="68">
        <v>4.3</v>
      </c>
      <c r="D236" s="31">
        <v>4.3</v>
      </c>
      <c r="E236" s="31">
        <v>4.3</v>
      </c>
      <c r="F236" s="31">
        <v>4.3</v>
      </c>
      <c r="G236" s="31">
        <v>4.3</v>
      </c>
    </row>
    <row r="237" spans="1:7" ht="25.5">
      <c r="A237" s="20" t="s">
        <v>73</v>
      </c>
      <c r="B237" s="13" t="s">
        <v>7</v>
      </c>
      <c r="C237" s="68">
        <v>2.46</v>
      </c>
      <c r="D237" s="31">
        <v>2.46</v>
      </c>
      <c r="E237" s="31">
        <v>2.46</v>
      </c>
      <c r="F237" s="31">
        <v>2.46</v>
      </c>
      <c r="G237" s="31">
        <v>2.46</v>
      </c>
    </row>
    <row r="238" spans="1:7" ht="12.75">
      <c r="A238" s="20" t="s">
        <v>67</v>
      </c>
      <c r="B238" s="13" t="s">
        <v>7</v>
      </c>
      <c r="C238" s="68">
        <v>25.35</v>
      </c>
      <c r="D238" s="31">
        <v>24.89</v>
      </c>
      <c r="E238" s="31">
        <v>24.47</v>
      </c>
      <c r="F238" s="31">
        <v>24.07</v>
      </c>
      <c r="G238" s="31">
        <v>24.07</v>
      </c>
    </row>
    <row r="239" spans="1:7" ht="38.25">
      <c r="A239" s="41" t="s">
        <v>135</v>
      </c>
      <c r="B239" s="13" t="s">
        <v>7</v>
      </c>
      <c r="C239" s="68">
        <v>9.1</v>
      </c>
      <c r="D239" s="31">
        <v>9.1</v>
      </c>
      <c r="E239" s="31">
        <v>9.1</v>
      </c>
      <c r="F239" s="31">
        <v>9.1</v>
      </c>
      <c r="G239" s="31">
        <v>9.1</v>
      </c>
    </row>
    <row r="240" spans="1:7" ht="12.75">
      <c r="A240" s="41"/>
      <c r="B240" s="13"/>
      <c r="C240" s="68"/>
      <c r="D240" s="31"/>
      <c r="E240" s="31"/>
      <c r="F240" s="31"/>
      <c r="G240" s="31"/>
    </row>
    <row r="241" spans="1:7" ht="25.5">
      <c r="A241" s="33" t="s">
        <v>25</v>
      </c>
      <c r="B241" s="13" t="s">
        <v>16</v>
      </c>
      <c r="C241" s="68">
        <v>12401</v>
      </c>
      <c r="D241" s="31">
        <v>15835</v>
      </c>
      <c r="E241" s="31">
        <v>20585</v>
      </c>
      <c r="F241" s="31">
        <v>26534</v>
      </c>
      <c r="G241" s="31">
        <v>33592</v>
      </c>
    </row>
    <row r="242" spans="1:7" ht="12.75">
      <c r="A242" s="41"/>
      <c r="B242" s="13"/>
      <c r="C242" s="68"/>
      <c r="D242" s="31"/>
      <c r="E242" s="31"/>
      <c r="F242" s="31"/>
      <c r="G242" s="31"/>
    </row>
    <row r="243" spans="1:7" ht="26.25" customHeight="1">
      <c r="A243" s="11" t="s">
        <v>85</v>
      </c>
      <c r="B243" s="3" t="s">
        <v>11</v>
      </c>
      <c r="C243" s="68">
        <v>116.6</v>
      </c>
      <c r="D243" s="31">
        <v>113</v>
      </c>
      <c r="E243" s="31">
        <v>118.2</v>
      </c>
      <c r="F243" s="31">
        <v>119.2</v>
      </c>
      <c r="G243" s="31">
        <v>117.7</v>
      </c>
    </row>
    <row r="244" spans="1:7" ht="12.75">
      <c r="A244" s="42"/>
      <c r="B244" s="14"/>
      <c r="C244" s="68"/>
      <c r="D244" s="31"/>
      <c r="E244" s="31"/>
      <c r="F244" s="31"/>
      <c r="G244" s="31"/>
    </row>
    <row r="245" spans="1:7" ht="12.75">
      <c r="A245" s="24" t="s">
        <v>76</v>
      </c>
      <c r="B245" s="12"/>
      <c r="C245" s="68"/>
      <c r="D245" s="68"/>
      <c r="E245" s="68"/>
      <c r="F245" s="68"/>
      <c r="G245" s="68"/>
    </row>
    <row r="246" spans="1:7" ht="25.5">
      <c r="A246" s="37" t="s">
        <v>74</v>
      </c>
      <c r="B246" s="13"/>
      <c r="C246" s="68"/>
      <c r="D246" s="68"/>
      <c r="E246" s="68"/>
      <c r="F246" s="68"/>
      <c r="G246" s="68"/>
    </row>
    <row r="247" spans="1:7" ht="12.75">
      <c r="A247" s="8" t="s">
        <v>53</v>
      </c>
      <c r="B247" s="13" t="s">
        <v>3</v>
      </c>
      <c r="C247" s="68">
        <v>3756</v>
      </c>
      <c r="D247" s="117">
        <v>4500</v>
      </c>
      <c r="E247" s="117">
        <v>5400</v>
      </c>
      <c r="F247" s="117">
        <v>6825</v>
      </c>
      <c r="G247" s="117">
        <v>7632</v>
      </c>
    </row>
    <row r="248" spans="1:7" ht="12.75">
      <c r="A248" s="38" t="s">
        <v>61</v>
      </c>
      <c r="B248" s="13" t="s">
        <v>4</v>
      </c>
      <c r="C248" s="68"/>
      <c r="D248" s="69">
        <f>D247/1.119/C247*100</f>
        <v>107.06729822096976</v>
      </c>
      <c r="E248" s="69">
        <f>E247/1.098/D247*100</f>
        <v>109.28961748633878</v>
      </c>
      <c r="F248" s="69">
        <f>F247/1.072/E247*100</f>
        <v>117.90008291873963</v>
      </c>
      <c r="G248" s="69">
        <f>G247/1.065/F247*100</f>
        <v>104.9992261259867</v>
      </c>
    </row>
    <row r="249" spans="1:7" ht="12.75">
      <c r="A249" s="11" t="s">
        <v>75</v>
      </c>
      <c r="B249" s="3"/>
      <c r="C249" s="68"/>
      <c r="D249" s="68"/>
      <c r="E249" s="68"/>
      <c r="F249" s="68"/>
      <c r="G249" s="68"/>
    </row>
    <row r="250" spans="1:7" ht="12.75">
      <c r="A250" s="8" t="s">
        <v>53</v>
      </c>
      <c r="B250" s="13" t="s">
        <v>3</v>
      </c>
      <c r="C250" s="68">
        <v>360</v>
      </c>
      <c r="D250" s="68">
        <v>450</v>
      </c>
      <c r="E250" s="68">
        <v>520</v>
      </c>
      <c r="F250" s="68">
        <v>590</v>
      </c>
      <c r="G250" s="68">
        <v>670</v>
      </c>
    </row>
    <row r="251" spans="1:7" ht="12.75">
      <c r="A251" s="38" t="s">
        <v>61</v>
      </c>
      <c r="B251" s="13" t="s">
        <v>4</v>
      </c>
      <c r="C251" s="68"/>
      <c r="D251" s="69">
        <f>D250/C250/1.119*100</f>
        <v>111.70688114387846</v>
      </c>
      <c r="E251" s="69">
        <f>E250/D250/1.098*100</f>
        <v>105.24185387573364</v>
      </c>
      <c r="F251" s="69">
        <f>F250/E250/1.072*100</f>
        <v>105.8409873708381</v>
      </c>
      <c r="G251" s="69">
        <f>G250/F250/1.065*100</f>
        <v>106.62847139333176</v>
      </c>
    </row>
    <row r="252" spans="1:7" ht="25.5">
      <c r="A252" s="6" t="s">
        <v>242</v>
      </c>
      <c r="B252" s="3"/>
      <c r="C252" s="68"/>
      <c r="D252" s="68"/>
      <c r="E252" s="68"/>
      <c r="F252" s="68"/>
      <c r="G252" s="68"/>
    </row>
    <row r="253" spans="1:7" ht="12.75">
      <c r="A253" s="5" t="s">
        <v>53</v>
      </c>
      <c r="B253" s="3" t="s">
        <v>3</v>
      </c>
      <c r="C253" s="68">
        <v>987.3</v>
      </c>
      <c r="D253" s="117">
        <v>1220</v>
      </c>
      <c r="E253" s="117">
        <v>1420</v>
      </c>
      <c r="F253" s="117">
        <v>1660</v>
      </c>
      <c r="G253" s="117">
        <v>1950</v>
      </c>
    </row>
    <row r="254" spans="1:9" ht="12.75">
      <c r="A254" s="4" t="s">
        <v>61</v>
      </c>
      <c r="B254" s="3" t="s">
        <v>4</v>
      </c>
      <c r="C254" s="70"/>
      <c r="D254" s="69">
        <f>D253/1.16/C253*100</f>
        <v>106.52528491147926</v>
      </c>
      <c r="E254" s="69">
        <f>E253/1.105/D253*100</f>
        <v>105.33343223796454</v>
      </c>
      <c r="F254" s="69">
        <f>F253/1.107/E253*100</f>
        <v>105.60199498708602</v>
      </c>
      <c r="G254" s="69">
        <f>G253/1.105/F253*100</f>
        <v>106.30758327427357</v>
      </c>
      <c r="I254" t="s">
        <v>245</v>
      </c>
    </row>
    <row r="255" spans="1:7" ht="38.25">
      <c r="A255" s="6" t="s">
        <v>243</v>
      </c>
      <c r="B255" s="3"/>
      <c r="C255" s="70"/>
      <c r="D255" s="68"/>
      <c r="E255" s="68"/>
      <c r="F255" s="68"/>
      <c r="G255" s="68"/>
    </row>
    <row r="256" spans="1:7" ht="12.75">
      <c r="A256" s="5" t="s">
        <v>53</v>
      </c>
      <c r="B256" s="3" t="s">
        <v>3</v>
      </c>
      <c r="C256" s="68">
        <v>1463</v>
      </c>
      <c r="D256" s="68">
        <v>1760</v>
      </c>
      <c r="E256" s="68">
        <v>2100</v>
      </c>
      <c r="F256" s="68">
        <v>2450</v>
      </c>
      <c r="G256" s="68">
        <v>2850</v>
      </c>
    </row>
    <row r="257" spans="1:7" ht="12.75">
      <c r="A257" s="4" t="s">
        <v>61</v>
      </c>
      <c r="B257" s="3" t="s">
        <v>4</v>
      </c>
      <c r="C257" s="70"/>
      <c r="D257" s="69">
        <f>D256/1.16/C256*100</f>
        <v>103.70754472387867</v>
      </c>
      <c r="E257" s="69">
        <f>E256/D256/1.105*100</f>
        <v>107.98025503907856</v>
      </c>
      <c r="F257" s="69">
        <f>F256/E256/1.107*100</f>
        <v>105.38994278831677</v>
      </c>
      <c r="G257" s="69">
        <f>G256/F256/1.105*100</f>
        <v>105.27287838212207</v>
      </c>
    </row>
    <row r="258" spans="1:7" ht="12.75">
      <c r="A258" s="43" t="s">
        <v>115</v>
      </c>
      <c r="B258" s="3"/>
      <c r="C258" s="70"/>
      <c r="D258" s="68"/>
      <c r="E258" s="68"/>
      <c r="F258" s="68"/>
      <c r="G258" s="68"/>
    </row>
    <row r="259" spans="1:7" ht="12.75">
      <c r="A259" s="4" t="s">
        <v>116</v>
      </c>
      <c r="B259" s="3" t="s">
        <v>117</v>
      </c>
      <c r="C259" s="70">
        <v>57173</v>
      </c>
      <c r="D259" s="68">
        <v>57600</v>
      </c>
      <c r="E259" s="68">
        <v>57600</v>
      </c>
      <c r="F259" s="68">
        <v>57600</v>
      </c>
      <c r="G259" s="68">
        <v>57600</v>
      </c>
    </row>
    <row r="260" spans="1:7" ht="12.75">
      <c r="A260" s="4" t="s">
        <v>118</v>
      </c>
      <c r="B260" s="3" t="s">
        <v>119</v>
      </c>
      <c r="C260" s="70">
        <v>895</v>
      </c>
      <c r="D260" s="68">
        <v>900</v>
      </c>
      <c r="E260" s="68">
        <v>900</v>
      </c>
      <c r="F260" s="68">
        <v>900</v>
      </c>
      <c r="G260" s="68">
        <v>900</v>
      </c>
    </row>
    <row r="261" spans="1:7" ht="25.5">
      <c r="A261" s="36" t="s">
        <v>120</v>
      </c>
      <c r="B261" s="93" t="s">
        <v>121</v>
      </c>
      <c r="C261" s="95">
        <v>1236</v>
      </c>
      <c r="D261" s="95">
        <v>1200</v>
      </c>
      <c r="E261" s="95">
        <v>1200</v>
      </c>
      <c r="F261" s="95">
        <v>1200</v>
      </c>
      <c r="G261" s="95">
        <v>1200</v>
      </c>
    </row>
    <row r="262" spans="1:7" ht="12.75">
      <c r="A262" s="4"/>
      <c r="B262" s="3"/>
      <c r="C262" s="70"/>
      <c r="D262" s="68"/>
      <c r="E262" s="68"/>
      <c r="F262" s="68"/>
      <c r="G262" s="68"/>
    </row>
    <row r="263" spans="1:7" ht="25.5">
      <c r="A263" s="6" t="s">
        <v>77</v>
      </c>
      <c r="B263" s="3"/>
      <c r="C263" s="70"/>
      <c r="D263" s="68"/>
      <c r="E263" s="68"/>
      <c r="F263" s="68"/>
      <c r="G263" s="68"/>
    </row>
    <row r="264" spans="1:7" ht="12.75">
      <c r="A264" s="46" t="s">
        <v>150</v>
      </c>
      <c r="B264" s="3"/>
      <c r="C264" s="70"/>
      <c r="D264" s="70"/>
      <c r="E264" s="70"/>
      <c r="F264" s="70"/>
      <c r="G264" s="70"/>
    </row>
    <row r="265" spans="1:7" ht="25.5">
      <c r="A265" s="48" t="s">
        <v>151</v>
      </c>
      <c r="B265" s="3" t="s">
        <v>152</v>
      </c>
      <c r="C265" s="70">
        <v>4743</v>
      </c>
      <c r="D265" s="70">
        <v>4850</v>
      </c>
      <c r="E265" s="70">
        <v>4850</v>
      </c>
      <c r="F265" s="70">
        <v>4850</v>
      </c>
      <c r="G265" s="70">
        <v>4850</v>
      </c>
    </row>
    <row r="266" spans="1:7" ht="12.75">
      <c r="A266" s="48" t="s">
        <v>153</v>
      </c>
      <c r="B266" s="3" t="s">
        <v>154</v>
      </c>
      <c r="C266" s="70">
        <v>4270</v>
      </c>
      <c r="D266" s="70">
        <v>4570</v>
      </c>
      <c r="E266" s="70">
        <v>4416</v>
      </c>
      <c r="F266" s="70">
        <v>4337</v>
      </c>
      <c r="G266" s="70">
        <v>4390</v>
      </c>
    </row>
    <row r="267" spans="1:7" ht="12.75">
      <c r="A267" s="48" t="s">
        <v>155</v>
      </c>
      <c r="B267" s="3" t="s">
        <v>152</v>
      </c>
      <c r="C267" s="70">
        <v>6506</v>
      </c>
      <c r="D267" s="70">
        <v>6353</v>
      </c>
      <c r="E267" s="70">
        <v>6591</v>
      </c>
      <c r="F267" s="70">
        <v>6621</v>
      </c>
      <c r="G267" s="70">
        <v>6655</v>
      </c>
    </row>
    <row r="268" spans="1:7" ht="12.75">
      <c r="A268" s="52" t="s">
        <v>156</v>
      </c>
      <c r="B268" s="3" t="s">
        <v>152</v>
      </c>
      <c r="C268" s="70">
        <v>784</v>
      </c>
      <c r="D268" s="70">
        <v>811</v>
      </c>
      <c r="E268" s="70">
        <v>892</v>
      </c>
      <c r="F268" s="70">
        <v>895</v>
      </c>
      <c r="G268" s="70">
        <v>898</v>
      </c>
    </row>
    <row r="269" spans="1:7" ht="12.75">
      <c r="A269" s="52" t="s">
        <v>157</v>
      </c>
      <c r="B269" s="3" t="s">
        <v>152</v>
      </c>
      <c r="C269" s="70">
        <v>5722</v>
      </c>
      <c r="D269" s="70">
        <v>5542</v>
      </c>
      <c r="E269" s="70">
        <v>5699</v>
      </c>
      <c r="F269" s="70">
        <v>5726</v>
      </c>
      <c r="G269" s="70">
        <v>5757</v>
      </c>
    </row>
    <row r="270" spans="1:7" ht="12.75">
      <c r="A270" s="53" t="s">
        <v>158</v>
      </c>
      <c r="B270" s="3"/>
      <c r="C270" s="70"/>
      <c r="D270" s="70"/>
      <c r="E270" s="70"/>
      <c r="F270" s="70"/>
      <c r="G270" s="70"/>
    </row>
    <row r="271" spans="1:7" ht="12.75">
      <c r="A271" s="53" t="s">
        <v>159</v>
      </c>
      <c r="B271" s="3" t="s">
        <v>152</v>
      </c>
      <c r="C271" s="70">
        <v>7600</v>
      </c>
      <c r="D271" s="70">
        <v>7703</v>
      </c>
      <c r="E271" s="70">
        <v>7544</v>
      </c>
      <c r="F271" s="70">
        <v>7608</v>
      </c>
      <c r="G271" s="70">
        <v>7638</v>
      </c>
    </row>
    <row r="272" spans="1:7" ht="12.75">
      <c r="A272" s="53" t="s">
        <v>160</v>
      </c>
      <c r="B272" s="3" t="s">
        <v>152</v>
      </c>
      <c r="C272" s="70">
        <v>297</v>
      </c>
      <c r="D272" s="70">
        <v>290</v>
      </c>
      <c r="E272" s="70">
        <v>350</v>
      </c>
      <c r="F272" s="70">
        <v>300</v>
      </c>
      <c r="G272" s="70">
        <v>350</v>
      </c>
    </row>
    <row r="273" spans="1:7" ht="12.75">
      <c r="A273" s="53" t="s">
        <v>161</v>
      </c>
      <c r="B273" s="3" t="s">
        <v>152</v>
      </c>
      <c r="C273" s="70">
        <v>757</v>
      </c>
      <c r="D273" s="70">
        <v>721</v>
      </c>
      <c r="E273" s="70">
        <v>670</v>
      </c>
      <c r="F273" s="70">
        <v>622</v>
      </c>
      <c r="G273" s="70">
        <v>632</v>
      </c>
    </row>
    <row r="274" spans="1:7" ht="12.75">
      <c r="A274" s="53" t="s">
        <v>162</v>
      </c>
      <c r="B274" s="3" t="s">
        <v>152</v>
      </c>
      <c r="C274" s="70">
        <v>1832</v>
      </c>
      <c r="D274" s="70">
        <v>1446</v>
      </c>
      <c r="E274" s="70">
        <v>1300</v>
      </c>
      <c r="F274" s="70">
        <v>1300</v>
      </c>
      <c r="G274" s="70">
        <v>1400</v>
      </c>
    </row>
    <row r="275" spans="1:7" ht="12.75">
      <c r="A275" s="53" t="s">
        <v>163</v>
      </c>
      <c r="B275" s="3"/>
      <c r="C275" s="70"/>
      <c r="D275" s="70"/>
      <c r="E275" s="70"/>
      <c r="F275" s="70"/>
      <c r="G275" s="70"/>
    </row>
    <row r="276" spans="1:7" ht="12.75">
      <c r="A276" s="53" t="s">
        <v>161</v>
      </c>
      <c r="B276" s="3" t="s">
        <v>152</v>
      </c>
      <c r="C276" s="70">
        <v>276</v>
      </c>
      <c r="D276" s="70">
        <v>172</v>
      </c>
      <c r="E276" s="70">
        <v>236</v>
      </c>
      <c r="F276" s="70">
        <v>158</v>
      </c>
      <c r="G276" s="70">
        <v>225</v>
      </c>
    </row>
    <row r="277" spans="1:7" ht="12.75">
      <c r="A277" s="53" t="s">
        <v>162</v>
      </c>
      <c r="B277" s="3" t="s">
        <v>152</v>
      </c>
      <c r="C277" s="70">
        <v>395</v>
      </c>
      <c r="D277" s="70">
        <v>431</v>
      </c>
      <c r="E277" s="70">
        <v>366</v>
      </c>
      <c r="F277" s="70">
        <v>380</v>
      </c>
      <c r="G277" s="70">
        <v>290</v>
      </c>
    </row>
    <row r="278" spans="1:7" ht="38.25">
      <c r="A278" s="53" t="s">
        <v>164</v>
      </c>
      <c r="B278" s="3" t="s">
        <v>11</v>
      </c>
      <c r="C278" s="70">
        <v>100</v>
      </c>
      <c r="D278" s="70">
        <v>100</v>
      </c>
      <c r="E278" s="70">
        <v>100</v>
      </c>
      <c r="F278" s="70">
        <v>100</v>
      </c>
      <c r="G278" s="70">
        <v>100</v>
      </c>
    </row>
    <row r="279" spans="1:7" ht="12.75">
      <c r="A279" s="48" t="s">
        <v>165</v>
      </c>
      <c r="B279" s="3" t="s">
        <v>154</v>
      </c>
      <c r="C279" s="70">
        <v>10680</v>
      </c>
      <c r="D279" s="70">
        <v>10780</v>
      </c>
      <c r="E279" s="70">
        <v>10780</v>
      </c>
      <c r="F279" s="70">
        <v>10780</v>
      </c>
      <c r="G279" s="70">
        <v>10880</v>
      </c>
    </row>
    <row r="280" spans="1:7" ht="12.75">
      <c r="A280" s="53" t="s">
        <v>166</v>
      </c>
      <c r="B280" s="3"/>
      <c r="C280" s="70"/>
      <c r="D280" s="70"/>
      <c r="E280" s="70"/>
      <c r="F280" s="70"/>
      <c r="G280" s="70"/>
    </row>
    <row r="281" spans="1:7" ht="12.75">
      <c r="A281" s="53" t="s">
        <v>167</v>
      </c>
      <c r="B281" s="3" t="s">
        <v>168</v>
      </c>
      <c r="C281" s="75"/>
      <c r="D281" s="70" t="s">
        <v>251</v>
      </c>
      <c r="E281" s="70"/>
      <c r="F281" s="70"/>
      <c r="G281" s="70"/>
    </row>
    <row r="282" spans="1:7" ht="12.75">
      <c r="A282" s="53" t="s">
        <v>169</v>
      </c>
      <c r="B282" s="3" t="s">
        <v>168</v>
      </c>
      <c r="C282" s="70"/>
      <c r="D282" s="70" t="s">
        <v>253</v>
      </c>
      <c r="E282" s="70"/>
      <c r="F282" s="70"/>
      <c r="G282" s="70" t="s">
        <v>253</v>
      </c>
    </row>
    <row r="283" spans="1:7" ht="12.75">
      <c r="A283" s="48" t="s">
        <v>170</v>
      </c>
      <c r="B283" s="3"/>
      <c r="C283" s="70"/>
      <c r="D283" s="70"/>
      <c r="E283" s="70"/>
      <c r="F283" s="70"/>
      <c r="G283" s="70"/>
    </row>
    <row r="284" spans="1:7" ht="12.75">
      <c r="A284" s="48" t="s">
        <v>171</v>
      </c>
      <c r="B284" s="3" t="s">
        <v>168</v>
      </c>
      <c r="C284" s="70"/>
      <c r="D284" s="70" t="s">
        <v>251</v>
      </c>
      <c r="E284" s="70"/>
      <c r="F284" s="70"/>
      <c r="G284" s="70"/>
    </row>
    <row r="285" spans="1:7" ht="12.75">
      <c r="A285" s="48" t="s">
        <v>172</v>
      </c>
      <c r="B285" s="3" t="s">
        <v>168</v>
      </c>
      <c r="C285" s="68"/>
      <c r="D285" s="70" t="s">
        <v>253</v>
      </c>
      <c r="E285" s="70"/>
      <c r="F285" s="70"/>
      <c r="G285" s="70" t="s">
        <v>253</v>
      </c>
    </row>
    <row r="286" spans="1:7" ht="12.75">
      <c r="A286" s="48" t="s">
        <v>173</v>
      </c>
      <c r="B286" s="3" t="s">
        <v>168</v>
      </c>
      <c r="C286" s="70"/>
      <c r="D286" s="70"/>
      <c r="E286" s="70"/>
      <c r="F286" s="70"/>
      <c r="G286" s="70"/>
    </row>
    <row r="287" spans="1:7" ht="12.75">
      <c r="A287" s="48"/>
      <c r="B287" s="3"/>
      <c r="C287" s="15"/>
      <c r="D287" s="70"/>
      <c r="E287" s="70"/>
      <c r="F287" s="70"/>
      <c r="G287" s="70"/>
    </row>
    <row r="288" spans="1:7" ht="12.75">
      <c r="A288" s="48"/>
      <c r="B288" s="3"/>
      <c r="C288" s="52"/>
      <c r="D288" s="70"/>
      <c r="E288" s="70"/>
      <c r="F288" s="70"/>
      <c r="G288" s="121"/>
    </row>
    <row r="289" spans="1:7" ht="12.75">
      <c r="A289" s="48" t="s">
        <v>174</v>
      </c>
      <c r="B289" s="3"/>
      <c r="C289" s="52"/>
      <c r="D289" s="70"/>
      <c r="E289" s="70"/>
      <c r="F289" s="70"/>
      <c r="G289" s="121"/>
    </row>
    <row r="290" spans="1:7" ht="12.75">
      <c r="A290" s="48" t="s">
        <v>175</v>
      </c>
      <c r="B290" s="3" t="s">
        <v>168</v>
      </c>
      <c r="C290" s="52"/>
      <c r="D290" s="70"/>
      <c r="E290" s="70"/>
      <c r="F290" s="70"/>
      <c r="G290" s="122" t="s">
        <v>252</v>
      </c>
    </row>
    <row r="291" spans="1:7" ht="12.75">
      <c r="A291" s="48" t="s">
        <v>169</v>
      </c>
      <c r="B291" s="3" t="s">
        <v>168</v>
      </c>
      <c r="C291" s="52"/>
      <c r="D291" s="70"/>
      <c r="E291" s="70"/>
      <c r="F291" s="70"/>
      <c r="G291" s="121"/>
    </row>
    <row r="292" spans="1:7" ht="12.75">
      <c r="A292" s="48" t="s">
        <v>170</v>
      </c>
      <c r="B292" s="3"/>
      <c r="C292" s="76"/>
      <c r="D292" s="70"/>
      <c r="E292" s="70"/>
      <c r="F292" s="70"/>
      <c r="G292" s="121"/>
    </row>
    <row r="293" spans="1:7" ht="12.75">
      <c r="A293" s="48" t="s">
        <v>171</v>
      </c>
      <c r="B293" s="3" t="s">
        <v>168</v>
      </c>
      <c r="C293" s="15"/>
      <c r="D293" s="70"/>
      <c r="E293" s="70"/>
      <c r="F293" s="70"/>
      <c r="G293" s="121"/>
    </row>
    <row r="294" spans="1:7" ht="12.75">
      <c r="A294" s="48" t="s">
        <v>172</v>
      </c>
      <c r="B294" s="3" t="s">
        <v>168</v>
      </c>
      <c r="C294" s="76"/>
      <c r="D294" s="70"/>
      <c r="E294" s="70"/>
      <c r="F294" s="70"/>
      <c r="G294" s="122" t="s">
        <v>252</v>
      </c>
    </row>
    <row r="295" spans="1:7" ht="12.75">
      <c r="A295" s="48" t="s">
        <v>173</v>
      </c>
      <c r="B295" s="3" t="s">
        <v>168</v>
      </c>
      <c r="C295" s="76"/>
      <c r="D295" s="70"/>
      <c r="E295" s="70"/>
      <c r="F295" s="70"/>
      <c r="G295" s="121"/>
    </row>
    <row r="296" spans="1:7" ht="12.75">
      <c r="A296" s="48"/>
      <c r="B296" s="3"/>
      <c r="C296" s="76"/>
      <c r="D296" s="70"/>
      <c r="E296" s="70"/>
      <c r="F296" s="70"/>
      <c r="G296" s="121"/>
    </row>
    <row r="297" spans="1:7" ht="12.75">
      <c r="A297" s="48"/>
      <c r="B297" s="3"/>
      <c r="C297" s="76"/>
      <c r="D297" s="70"/>
      <c r="E297" s="70"/>
      <c r="F297" s="70"/>
      <c r="G297" s="70"/>
    </row>
    <row r="298" spans="1:7" ht="12.75">
      <c r="A298" s="48"/>
      <c r="B298" s="3"/>
      <c r="C298" s="76"/>
      <c r="D298" s="70"/>
      <c r="E298" s="70"/>
      <c r="F298" s="70"/>
      <c r="G298" s="70"/>
    </row>
    <row r="299" spans="1:7" ht="12.75">
      <c r="A299" s="46" t="s">
        <v>176</v>
      </c>
      <c r="B299" s="3"/>
      <c r="C299" s="76"/>
      <c r="D299" s="70"/>
      <c r="E299" s="70"/>
      <c r="F299" s="70"/>
      <c r="G299" s="70"/>
    </row>
    <row r="300" spans="1:7" ht="12.75">
      <c r="A300" s="54" t="s">
        <v>177</v>
      </c>
      <c r="B300" s="3" t="s">
        <v>9</v>
      </c>
      <c r="C300" s="76"/>
      <c r="D300" s="70"/>
      <c r="E300" s="70"/>
      <c r="F300" s="70"/>
      <c r="G300" s="70"/>
    </row>
    <row r="301" spans="1:7" ht="25.5">
      <c r="A301" s="54" t="s">
        <v>178</v>
      </c>
      <c r="B301" s="3" t="s">
        <v>179</v>
      </c>
      <c r="C301" s="76">
        <v>971</v>
      </c>
      <c r="D301" s="70">
        <v>971</v>
      </c>
      <c r="E301" s="70">
        <v>951</v>
      </c>
      <c r="F301" s="70">
        <v>951</v>
      </c>
      <c r="G301" s="70">
        <v>951</v>
      </c>
    </row>
    <row r="302" spans="1:7" ht="38.25">
      <c r="A302" s="54" t="s">
        <v>180</v>
      </c>
      <c r="B302" s="3" t="s">
        <v>9</v>
      </c>
      <c r="C302" s="76"/>
      <c r="D302" s="70"/>
      <c r="E302" s="70"/>
      <c r="F302" s="70"/>
      <c r="G302" s="70"/>
    </row>
    <row r="303" spans="1:7" ht="25.5">
      <c r="A303" s="55" t="s">
        <v>181</v>
      </c>
      <c r="B303" s="3" t="s">
        <v>182</v>
      </c>
      <c r="C303" s="76">
        <v>2147</v>
      </c>
      <c r="D303" s="76">
        <v>2147</v>
      </c>
      <c r="E303" s="76">
        <v>2159</v>
      </c>
      <c r="F303" s="76">
        <v>2167</v>
      </c>
      <c r="G303" s="76">
        <v>2185</v>
      </c>
    </row>
    <row r="304" spans="1:7" ht="12.75">
      <c r="A304" s="55" t="s">
        <v>183</v>
      </c>
      <c r="B304" s="3" t="s">
        <v>9</v>
      </c>
      <c r="C304" s="76"/>
      <c r="D304" s="52"/>
      <c r="E304" s="52"/>
      <c r="F304" s="52"/>
      <c r="G304" s="52"/>
    </row>
    <row r="305" spans="1:7" ht="25.5">
      <c r="A305" s="55" t="s">
        <v>184</v>
      </c>
      <c r="B305" s="3" t="s">
        <v>185</v>
      </c>
      <c r="C305" s="76"/>
      <c r="D305" s="52"/>
      <c r="E305" s="52"/>
      <c r="F305" s="52"/>
      <c r="G305" s="52"/>
    </row>
    <row r="306" spans="1:13" ht="12.75">
      <c r="A306" s="55" t="s">
        <v>186</v>
      </c>
      <c r="B306" s="3" t="s">
        <v>154</v>
      </c>
      <c r="C306" s="76">
        <v>127</v>
      </c>
      <c r="D306" s="52">
        <v>127</v>
      </c>
      <c r="E306" s="52">
        <v>117</v>
      </c>
      <c r="F306" s="52">
        <v>117</v>
      </c>
      <c r="G306" s="52">
        <v>117</v>
      </c>
      <c r="H306" s="83"/>
      <c r="I306" s="83"/>
      <c r="J306" s="83"/>
      <c r="K306" s="83"/>
      <c r="L306" s="84"/>
      <c r="M306" s="84"/>
    </row>
    <row r="307" spans="1:7" ht="12.75">
      <c r="A307" s="55" t="s">
        <v>187</v>
      </c>
      <c r="B307" s="3"/>
      <c r="C307" s="76"/>
      <c r="D307" s="56"/>
      <c r="E307" s="56"/>
      <c r="F307" s="56"/>
      <c r="G307" s="56"/>
    </row>
    <row r="308" spans="1:7" ht="12.75">
      <c r="A308" s="55" t="s">
        <v>188</v>
      </c>
      <c r="B308" s="3" t="s">
        <v>154</v>
      </c>
      <c r="C308" s="70"/>
      <c r="D308" s="57"/>
      <c r="E308" s="57"/>
      <c r="F308" s="57"/>
      <c r="G308" s="57"/>
    </row>
    <row r="309" spans="1:7" ht="25.5">
      <c r="A309" s="55" t="s">
        <v>189</v>
      </c>
      <c r="B309" s="3" t="s">
        <v>154</v>
      </c>
      <c r="C309" s="70"/>
      <c r="D309" s="57"/>
      <c r="E309" s="57"/>
      <c r="F309" s="57"/>
      <c r="G309" s="57"/>
    </row>
    <row r="310" spans="1:7" ht="12.75">
      <c r="A310" s="55" t="s">
        <v>190</v>
      </c>
      <c r="B310" s="3" t="s">
        <v>154</v>
      </c>
      <c r="C310" s="70"/>
      <c r="D310" s="57"/>
      <c r="E310" s="57"/>
      <c r="F310" s="57"/>
      <c r="G310" s="57"/>
    </row>
    <row r="311" spans="1:7" ht="12.75">
      <c r="A311" s="4" t="s">
        <v>191</v>
      </c>
      <c r="B311" s="3"/>
      <c r="C311" s="70"/>
      <c r="D311" s="57"/>
      <c r="E311" s="57"/>
      <c r="F311" s="57"/>
      <c r="G311" s="57"/>
    </row>
    <row r="312" spans="1:7" ht="12.75">
      <c r="A312" s="4" t="s">
        <v>192</v>
      </c>
      <c r="B312" s="3" t="s">
        <v>121</v>
      </c>
      <c r="C312" s="76">
        <v>453</v>
      </c>
      <c r="D312" s="76">
        <v>453</v>
      </c>
      <c r="E312" s="76">
        <v>453</v>
      </c>
      <c r="F312" s="76">
        <v>453</v>
      </c>
      <c r="G312" s="76">
        <v>453</v>
      </c>
    </row>
    <row r="313" spans="1:7" ht="12.75">
      <c r="A313" s="4" t="s">
        <v>193</v>
      </c>
      <c r="B313" s="3" t="s">
        <v>121</v>
      </c>
      <c r="C313" s="76">
        <v>1071</v>
      </c>
      <c r="D313" s="76">
        <v>1071</v>
      </c>
      <c r="E313" s="76">
        <v>1071</v>
      </c>
      <c r="F313" s="76">
        <v>1071</v>
      </c>
      <c r="G313" s="76">
        <v>1071</v>
      </c>
    </row>
    <row r="314" spans="1:7" ht="12.75">
      <c r="A314" s="4" t="s">
        <v>194</v>
      </c>
      <c r="B314" s="3"/>
      <c r="C314" s="76"/>
      <c r="D314" s="58"/>
      <c r="E314" s="58"/>
      <c r="F314" s="58"/>
      <c r="G314" s="58"/>
    </row>
    <row r="315" spans="1:7" ht="12.75">
      <c r="A315" s="53" t="s">
        <v>167</v>
      </c>
      <c r="B315" s="3" t="s">
        <v>9</v>
      </c>
      <c r="C315" s="76"/>
      <c r="D315" s="47"/>
      <c r="E315" s="47"/>
      <c r="F315" s="47"/>
      <c r="G315" s="47"/>
    </row>
    <row r="316" spans="1:7" ht="12.75">
      <c r="A316" s="53" t="s">
        <v>169</v>
      </c>
      <c r="B316" s="3" t="s">
        <v>9</v>
      </c>
      <c r="C316" s="76"/>
      <c r="D316" s="47"/>
      <c r="E316" s="47"/>
      <c r="F316" s="47"/>
      <c r="G316" s="47"/>
    </row>
    <row r="317" spans="1:7" ht="12.75">
      <c r="A317" s="4" t="s">
        <v>170</v>
      </c>
      <c r="B317" s="3"/>
      <c r="C317" s="76"/>
      <c r="D317" s="58"/>
      <c r="E317" s="58"/>
      <c r="F317" s="58"/>
      <c r="G317" s="58"/>
    </row>
    <row r="318" spans="1:7" ht="12.75">
      <c r="A318" s="4" t="s">
        <v>195</v>
      </c>
      <c r="B318" s="3" t="s">
        <v>154</v>
      </c>
      <c r="C318" s="76"/>
      <c r="D318" s="58"/>
      <c r="E318" s="58"/>
      <c r="F318" s="58"/>
      <c r="G318" s="58"/>
    </row>
    <row r="319" spans="1:7" ht="12.75">
      <c r="A319" s="4" t="s">
        <v>196</v>
      </c>
      <c r="B319" s="3" t="s">
        <v>182</v>
      </c>
      <c r="C319" s="76"/>
      <c r="D319" s="58"/>
      <c r="E319" s="58"/>
      <c r="F319" s="58"/>
      <c r="G319" s="58"/>
    </row>
    <row r="320" spans="1:7" ht="12.75">
      <c r="A320" s="48" t="s">
        <v>197</v>
      </c>
      <c r="B320" s="3" t="s">
        <v>182</v>
      </c>
      <c r="C320" s="76"/>
      <c r="D320" s="58"/>
      <c r="E320" s="58"/>
      <c r="F320" s="58"/>
      <c r="G320" s="58"/>
    </row>
    <row r="321" spans="1:7" ht="12.75">
      <c r="A321" s="4"/>
      <c r="B321" s="3"/>
      <c r="C321" s="76"/>
      <c r="D321" s="58"/>
      <c r="E321" s="58"/>
      <c r="F321" s="58"/>
      <c r="G321" s="58"/>
    </row>
    <row r="322" spans="1:7" ht="12.75">
      <c r="A322" s="4"/>
      <c r="B322" s="3"/>
      <c r="C322" s="76"/>
      <c r="D322" s="58"/>
      <c r="E322" s="58"/>
      <c r="F322" s="58"/>
      <c r="G322" s="58"/>
    </row>
    <row r="323" spans="1:7" ht="12.75">
      <c r="A323" s="4" t="s">
        <v>198</v>
      </c>
      <c r="B323" s="3"/>
      <c r="C323" s="76"/>
      <c r="D323" s="58"/>
      <c r="E323" s="58"/>
      <c r="F323" s="58"/>
      <c r="G323" s="58"/>
    </row>
    <row r="324" spans="1:7" ht="12.75">
      <c r="A324" s="4" t="s">
        <v>175</v>
      </c>
      <c r="B324" s="3" t="s">
        <v>9</v>
      </c>
      <c r="C324" s="76"/>
      <c r="D324" s="58"/>
      <c r="E324" s="58"/>
      <c r="F324" s="58"/>
      <c r="G324" s="58"/>
    </row>
    <row r="325" spans="1:7" ht="12.75">
      <c r="A325" s="4" t="s">
        <v>169</v>
      </c>
      <c r="B325" s="3" t="s">
        <v>9</v>
      </c>
      <c r="C325" s="76"/>
      <c r="D325" s="58"/>
      <c r="E325" s="58"/>
      <c r="F325" s="58"/>
      <c r="G325" s="58"/>
    </row>
    <row r="326" spans="1:7" ht="12.75">
      <c r="A326" s="4" t="s">
        <v>170</v>
      </c>
      <c r="B326" s="3"/>
      <c r="C326" s="76"/>
      <c r="D326" s="58"/>
      <c r="E326" s="58"/>
      <c r="F326" s="58"/>
      <c r="G326" s="58"/>
    </row>
    <row r="327" spans="1:7" ht="12.75">
      <c r="A327" s="4" t="s">
        <v>195</v>
      </c>
      <c r="B327" s="3" t="s">
        <v>154</v>
      </c>
      <c r="C327" s="76"/>
      <c r="D327" s="58"/>
      <c r="E327" s="58"/>
      <c r="F327" s="58"/>
      <c r="G327" s="58"/>
    </row>
    <row r="328" spans="1:7" ht="12.75">
      <c r="A328" s="4" t="s">
        <v>196</v>
      </c>
      <c r="B328" s="3" t="s">
        <v>182</v>
      </c>
      <c r="C328" s="76"/>
      <c r="D328" s="58"/>
      <c r="E328" s="58"/>
      <c r="F328" s="58"/>
      <c r="G328" s="58"/>
    </row>
    <row r="329" spans="1:7" ht="12.75">
      <c r="A329" s="48" t="s">
        <v>197</v>
      </c>
      <c r="B329" s="3" t="s">
        <v>182</v>
      </c>
      <c r="C329" s="76"/>
      <c r="D329" s="58"/>
      <c r="E329" s="58"/>
      <c r="F329" s="58"/>
      <c r="G329" s="58"/>
    </row>
    <row r="330" spans="1:7" ht="12.75">
      <c r="A330" s="4"/>
      <c r="B330" s="3"/>
      <c r="C330" s="76"/>
      <c r="D330" s="58"/>
      <c r="E330" s="58"/>
      <c r="F330" s="58"/>
      <c r="G330" s="58"/>
    </row>
    <row r="331" spans="1:7" ht="36">
      <c r="A331" s="59" t="s">
        <v>199</v>
      </c>
      <c r="B331" s="10" t="s">
        <v>200</v>
      </c>
      <c r="C331" s="76">
        <v>1201.7</v>
      </c>
      <c r="D331" s="76">
        <v>1201.7</v>
      </c>
      <c r="E331" s="76">
        <v>1201.7</v>
      </c>
      <c r="F331" s="76">
        <v>1201.7</v>
      </c>
      <c r="G331" s="76">
        <v>1201.7</v>
      </c>
    </row>
    <row r="332" spans="1:7" ht="12.75">
      <c r="A332" s="60" t="s">
        <v>86</v>
      </c>
      <c r="B332" s="10"/>
      <c r="C332" s="76"/>
      <c r="D332" s="76"/>
      <c r="E332" s="76"/>
      <c r="F332" s="76"/>
      <c r="G332" s="76"/>
    </row>
    <row r="333" spans="1:7" ht="24">
      <c r="A333" s="61" t="s">
        <v>87</v>
      </c>
      <c r="B333" s="10" t="s">
        <v>88</v>
      </c>
      <c r="C333" s="76">
        <v>109.7</v>
      </c>
      <c r="D333" s="76">
        <v>109.7</v>
      </c>
      <c r="E333" s="76">
        <v>107.3</v>
      </c>
      <c r="F333" s="76">
        <v>107.2</v>
      </c>
      <c r="G333" s="76">
        <v>107.2</v>
      </c>
    </row>
    <row r="334" spans="1:7" ht="12.75">
      <c r="A334" s="61" t="s">
        <v>113</v>
      </c>
      <c r="B334" s="10"/>
      <c r="C334" s="76"/>
      <c r="D334" s="76"/>
      <c r="E334" s="76"/>
      <c r="F334" s="76"/>
      <c r="G334" s="76"/>
    </row>
    <row r="335" spans="1:7" ht="24">
      <c r="A335" s="62" t="s">
        <v>108</v>
      </c>
      <c r="B335" s="10" t="s">
        <v>89</v>
      </c>
      <c r="C335" s="15">
        <v>2.4</v>
      </c>
      <c r="D335" s="76">
        <v>2.4</v>
      </c>
      <c r="E335" s="76">
        <v>2.4</v>
      </c>
      <c r="F335" s="76">
        <v>2.4</v>
      </c>
      <c r="G335" s="76">
        <v>2.4</v>
      </c>
    </row>
    <row r="336" spans="1:7" ht="24">
      <c r="A336" s="62" t="s">
        <v>109</v>
      </c>
      <c r="B336" s="10" t="s">
        <v>89</v>
      </c>
      <c r="C336" s="76">
        <v>3.4</v>
      </c>
      <c r="D336" s="76">
        <v>3.4</v>
      </c>
      <c r="E336" s="76">
        <v>3.4</v>
      </c>
      <c r="F336" s="76">
        <v>3.4</v>
      </c>
      <c r="G336" s="76">
        <v>3.4</v>
      </c>
    </row>
    <row r="337" spans="1:7" ht="24">
      <c r="A337" s="62" t="s">
        <v>110</v>
      </c>
      <c r="B337" s="10" t="s">
        <v>89</v>
      </c>
      <c r="C337" s="76">
        <v>93.9</v>
      </c>
      <c r="D337" s="76">
        <v>93.8</v>
      </c>
      <c r="E337" s="76">
        <v>90.9</v>
      </c>
      <c r="F337" s="76">
        <v>90.9</v>
      </c>
      <c r="G337" s="76">
        <v>90.8</v>
      </c>
    </row>
    <row r="338" spans="1:7" ht="36">
      <c r="A338" s="62" t="s">
        <v>111</v>
      </c>
      <c r="B338" s="10" t="s">
        <v>91</v>
      </c>
      <c r="C338" s="70">
        <v>2.7</v>
      </c>
      <c r="D338" s="76">
        <v>2.7</v>
      </c>
      <c r="E338" s="76">
        <v>2.7</v>
      </c>
      <c r="F338" s="76">
        <v>2.7</v>
      </c>
      <c r="G338" s="76">
        <v>2.7</v>
      </c>
    </row>
    <row r="339" spans="1:7" ht="24">
      <c r="A339" s="62" t="s">
        <v>112</v>
      </c>
      <c r="B339" s="10" t="s">
        <v>89</v>
      </c>
      <c r="C339" s="70">
        <v>3.3</v>
      </c>
      <c r="D339" s="76">
        <v>3.3</v>
      </c>
      <c r="E339" s="76">
        <v>3.8</v>
      </c>
      <c r="F339" s="76">
        <v>3.8</v>
      </c>
      <c r="G339" s="76">
        <v>3.8</v>
      </c>
    </row>
    <row r="340" spans="1:7" ht="36">
      <c r="A340" s="61" t="s">
        <v>92</v>
      </c>
      <c r="B340" s="10" t="s">
        <v>93</v>
      </c>
      <c r="C340" s="70">
        <v>243</v>
      </c>
      <c r="D340" s="76">
        <v>242</v>
      </c>
      <c r="E340" s="76">
        <v>244</v>
      </c>
      <c r="F340" s="76">
        <v>244</v>
      </c>
      <c r="G340" s="76">
        <v>246</v>
      </c>
    </row>
    <row r="341" spans="1:7" ht="24">
      <c r="A341" s="61" t="s">
        <v>94</v>
      </c>
      <c r="B341" s="10" t="s">
        <v>95</v>
      </c>
      <c r="C341" s="70">
        <v>51.2</v>
      </c>
      <c r="D341" s="76">
        <v>51.1</v>
      </c>
      <c r="E341" s="76">
        <v>51.1</v>
      </c>
      <c r="F341" s="76">
        <v>51.1</v>
      </c>
      <c r="G341" s="76">
        <v>51</v>
      </c>
    </row>
    <row r="342" spans="1:7" ht="12.75">
      <c r="A342" s="61" t="s">
        <v>96</v>
      </c>
      <c r="B342" s="10"/>
      <c r="C342" s="70"/>
      <c r="D342" s="58"/>
      <c r="E342" s="58"/>
      <c r="F342" s="58"/>
      <c r="G342" s="58"/>
    </row>
    <row r="343" spans="1:7" ht="24">
      <c r="A343" s="63" t="s">
        <v>97</v>
      </c>
      <c r="B343" s="10" t="s">
        <v>95</v>
      </c>
      <c r="C343" s="15"/>
      <c r="D343" s="58"/>
      <c r="E343" s="58"/>
      <c r="F343" s="58"/>
      <c r="G343" s="58"/>
    </row>
    <row r="344" spans="1:7" ht="24">
      <c r="A344" s="61" t="s">
        <v>98</v>
      </c>
      <c r="B344" s="10" t="s">
        <v>95</v>
      </c>
      <c r="C344" s="76">
        <v>121</v>
      </c>
      <c r="D344" s="123">
        <v>120.9</v>
      </c>
      <c r="E344" s="123">
        <v>120.8</v>
      </c>
      <c r="F344" s="123">
        <v>120.7</v>
      </c>
      <c r="G344" s="123">
        <v>120.7</v>
      </c>
    </row>
    <row r="345" spans="1:7" ht="12.75">
      <c r="A345" s="61"/>
      <c r="B345" s="10"/>
      <c r="C345" s="76"/>
      <c r="D345" s="76"/>
      <c r="E345" s="76"/>
      <c r="F345" s="76"/>
      <c r="G345" s="76"/>
    </row>
    <row r="346" spans="1:7" ht="12.75">
      <c r="A346" s="6" t="s">
        <v>201</v>
      </c>
      <c r="B346" s="3"/>
      <c r="C346" s="76"/>
      <c r="D346" s="76"/>
      <c r="E346" s="76"/>
      <c r="F346" s="76"/>
      <c r="G346" s="76"/>
    </row>
    <row r="347" spans="1:7" ht="12.75">
      <c r="A347" s="4" t="s">
        <v>202</v>
      </c>
      <c r="B347" s="3" t="s">
        <v>9</v>
      </c>
      <c r="C347" s="76">
        <v>2</v>
      </c>
      <c r="D347" s="76">
        <v>2</v>
      </c>
      <c r="E347" s="76">
        <v>2</v>
      </c>
      <c r="F347" s="76">
        <v>2</v>
      </c>
      <c r="G347" s="76">
        <v>2</v>
      </c>
    </row>
    <row r="348" spans="1:7" ht="12.75">
      <c r="A348" s="4" t="s">
        <v>203</v>
      </c>
      <c r="B348" s="3" t="s">
        <v>9</v>
      </c>
      <c r="C348" s="76">
        <v>1</v>
      </c>
      <c r="D348" s="76">
        <v>1</v>
      </c>
      <c r="E348" s="76">
        <v>1</v>
      </c>
      <c r="F348" s="76">
        <v>1</v>
      </c>
      <c r="G348" s="76">
        <v>1</v>
      </c>
    </row>
    <row r="349" spans="1:7" ht="12.75">
      <c r="A349" s="4" t="s">
        <v>204</v>
      </c>
      <c r="B349" s="3" t="s">
        <v>9</v>
      </c>
      <c r="C349" s="76">
        <v>4</v>
      </c>
      <c r="D349" s="76">
        <v>4</v>
      </c>
      <c r="E349" s="76">
        <v>4</v>
      </c>
      <c r="F349" s="76">
        <v>4</v>
      </c>
      <c r="G349" s="76">
        <v>4</v>
      </c>
    </row>
    <row r="350" spans="1:7" ht="12.75">
      <c r="A350" s="4" t="s">
        <v>205</v>
      </c>
      <c r="B350" s="3" t="s">
        <v>9</v>
      </c>
      <c r="C350" s="76">
        <v>2</v>
      </c>
      <c r="D350" s="76">
        <v>2</v>
      </c>
      <c r="E350" s="76">
        <v>2</v>
      </c>
      <c r="F350" s="76">
        <v>2</v>
      </c>
      <c r="G350" s="76">
        <v>2</v>
      </c>
    </row>
    <row r="351" spans="1:7" ht="12.75">
      <c r="A351" s="4" t="s">
        <v>206</v>
      </c>
      <c r="B351" s="3"/>
      <c r="C351" s="76"/>
      <c r="D351" s="57"/>
      <c r="E351" s="57"/>
      <c r="F351" s="57"/>
      <c r="G351" s="57"/>
    </row>
    <row r="352" spans="1:7" ht="12.75">
      <c r="A352" s="53" t="s">
        <v>207</v>
      </c>
      <c r="B352" s="3" t="s">
        <v>9</v>
      </c>
      <c r="C352" s="57"/>
      <c r="D352" s="47"/>
      <c r="E352" s="47"/>
      <c r="F352" s="47"/>
      <c r="G352" s="47"/>
    </row>
    <row r="353" spans="1:7" ht="12.75">
      <c r="A353" s="53" t="s">
        <v>208</v>
      </c>
      <c r="B353" s="3" t="s">
        <v>9</v>
      </c>
      <c r="C353" s="57"/>
      <c r="D353" s="47"/>
      <c r="E353" s="47"/>
      <c r="F353" s="47"/>
      <c r="G353" s="47"/>
    </row>
    <row r="354" spans="1:7" ht="12.75">
      <c r="A354" s="53" t="s">
        <v>209</v>
      </c>
      <c r="B354" s="3"/>
      <c r="C354" s="57"/>
      <c r="D354" s="47"/>
      <c r="E354" s="47"/>
      <c r="F354" s="47"/>
      <c r="G354" s="47"/>
    </row>
    <row r="355" spans="1:7" ht="12.75">
      <c r="A355" s="53"/>
      <c r="B355" s="3"/>
      <c r="C355" s="57"/>
      <c r="D355" s="47"/>
      <c r="E355" s="47"/>
      <c r="F355" s="47"/>
      <c r="G355" s="47"/>
    </row>
    <row r="356" spans="1:7" ht="12.75">
      <c r="A356" s="4"/>
      <c r="B356" s="3"/>
      <c r="C356" s="57"/>
      <c r="D356" s="57"/>
      <c r="E356" s="57"/>
      <c r="F356" s="57"/>
      <c r="G356" s="57"/>
    </row>
    <row r="357" spans="1:7" ht="12.75">
      <c r="A357" s="4" t="s">
        <v>210</v>
      </c>
      <c r="B357" s="3"/>
      <c r="C357" s="57"/>
      <c r="D357" s="57"/>
      <c r="E357" s="57"/>
      <c r="F357" s="57"/>
      <c r="G357" s="57"/>
    </row>
    <row r="358" spans="1:7" ht="12.75">
      <c r="A358" s="4" t="s">
        <v>211</v>
      </c>
      <c r="B358" s="3" t="s">
        <v>9</v>
      </c>
      <c r="C358" s="57"/>
      <c r="D358" s="58"/>
      <c r="E358" s="58"/>
      <c r="F358" s="58"/>
      <c r="G358" s="58"/>
    </row>
    <row r="359" spans="1:7" ht="12.75">
      <c r="A359" s="4" t="s">
        <v>208</v>
      </c>
      <c r="B359" s="3" t="s">
        <v>9</v>
      </c>
      <c r="D359" s="58"/>
      <c r="E359" s="58"/>
      <c r="F359" s="58"/>
      <c r="G359" s="58"/>
    </row>
    <row r="360" spans="1:7" ht="12.75">
      <c r="A360" s="53" t="s">
        <v>209</v>
      </c>
      <c r="B360" s="3"/>
      <c r="C360" s="58"/>
      <c r="D360" s="58"/>
      <c r="E360" s="58"/>
      <c r="F360" s="58"/>
      <c r="G360" s="58"/>
    </row>
    <row r="361" spans="1:7" ht="12.75">
      <c r="A361" s="4"/>
      <c r="B361" s="3"/>
      <c r="C361" s="58"/>
      <c r="D361" s="58"/>
      <c r="E361" s="58"/>
      <c r="F361" s="58"/>
      <c r="G361" s="58"/>
    </row>
    <row r="362" spans="1:7" ht="12.75">
      <c r="A362" s="11" t="s">
        <v>104</v>
      </c>
      <c r="B362" s="3"/>
      <c r="C362" s="58"/>
      <c r="D362" s="58"/>
      <c r="E362" s="58"/>
      <c r="F362" s="58"/>
      <c r="G362" s="58"/>
    </row>
    <row r="363" spans="1:7" ht="24">
      <c r="A363" s="61" t="s">
        <v>99</v>
      </c>
      <c r="B363" s="10" t="s">
        <v>100</v>
      </c>
      <c r="C363" s="76">
        <v>2.2</v>
      </c>
      <c r="D363" s="76">
        <v>2.2</v>
      </c>
      <c r="E363" s="76">
        <v>2.2</v>
      </c>
      <c r="F363" s="76">
        <v>2.2</v>
      </c>
      <c r="G363" s="76">
        <v>2.2</v>
      </c>
    </row>
    <row r="364" spans="1:7" ht="24">
      <c r="A364" s="61" t="s">
        <v>101</v>
      </c>
      <c r="B364" s="10" t="s">
        <v>100</v>
      </c>
      <c r="C364" s="76">
        <v>4.4</v>
      </c>
      <c r="D364" s="76">
        <v>4.4</v>
      </c>
      <c r="E364" s="76">
        <v>4.4</v>
      </c>
      <c r="F364" s="76">
        <v>4.4</v>
      </c>
      <c r="G364" s="76">
        <v>4.4</v>
      </c>
    </row>
    <row r="365" spans="1:7" ht="36">
      <c r="A365" s="61" t="s">
        <v>102</v>
      </c>
      <c r="B365" s="10" t="s">
        <v>103</v>
      </c>
      <c r="C365" s="123">
        <f>C266/C267*1000</f>
        <v>656.3172456194281</v>
      </c>
      <c r="D365" s="123">
        <f>D266/D267*1000</f>
        <v>719.3451912482292</v>
      </c>
      <c r="E365" s="123">
        <f>E266/E267*1000</f>
        <v>670.0045516613565</v>
      </c>
      <c r="F365" s="123">
        <f>F266/F267*1000</f>
        <v>655.0370034737955</v>
      </c>
      <c r="G365" s="123">
        <f>G266/G267*1000</f>
        <v>659.6543951915853</v>
      </c>
    </row>
    <row r="366" spans="1:7" ht="12.75">
      <c r="A366" s="6" t="s">
        <v>212</v>
      </c>
      <c r="B366" s="3"/>
      <c r="C366" s="76"/>
      <c r="D366" s="76"/>
      <c r="E366" s="76"/>
      <c r="F366" s="76"/>
      <c r="G366" s="76"/>
    </row>
    <row r="367" spans="1:7" ht="12.75">
      <c r="A367" s="4" t="s">
        <v>213</v>
      </c>
      <c r="B367" s="3" t="s">
        <v>9</v>
      </c>
      <c r="C367" s="76">
        <v>3</v>
      </c>
      <c r="D367" s="76">
        <v>3</v>
      </c>
      <c r="E367" s="76">
        <v>3</v>
      </c>
      <c r="F367" s="76">
        <v>3</v>
      </c>
      <c r="G367" s="76">
        <v>3</v>
      </c>
    </row>
    <row r="368" spans="1:7" ht="12.75">
      <c r="A368" s="4" t="s">
        <v>214</v>
      </c>
      <c r="B368" s="3" t="s">
        <v>9</v>
      </c>
      <c r="C368" s="76">
        <v>41</v>
      </c>
      <c r="D368" s="76">
        <v>42</v>
      </c>
      <c r="E368" s="76">
        <v>42</v>
      </c>
      <c r="F368" s="76">
        <v>42</v>
      </c>
      <c r="G368" s="76">
        <v>43</v>
      </c>
    </row>
    <row r="369" spans="1:7" ht="12.75">
      <c r="A369" s="4" t="s">
        <v>215</v>
      </c>
      <c r="B369" s="3"/>
      <c r="C369" s="76"/>
      <c r="D369" s="76"/>
      <c r="E369" s="76"/>
      <c r="F369" s="76"/>
      <c r="G369" s="76"/>
    </row>
    <row r="370" spans="1:7" ht="12.75">
      <c r="A370" s="4" t="s">
        <v>216</v>
      </c>
      <c r="B370" s="3" t="s">
        <v>9</v>
      </c>
      <c r="C370" s="76">
        <v>28</v>
      </c>
      <c r="D370" s="76">
        <v>28</v>
      </c>
      <c r="E370" s="76">
        <v>28</v>
      </c>
      <c r="F370" s="76">
        <v>28</v>
      </c>
      <c r="G370" s="76">
        <v>28</v>
      </c>
    </row>
    <row r="371" spans="1:7" ht="12.75">
      <c r="A371" s="4" t="s">
        <v>217</v>
      </c>
      <c r="B371" s="3" t="s">
        <v>9</v>
      </c>
      <c r="C371" s="76">
        <v>73</v>
      </c>
      <c r="D371" s="76">
        <v>73</v>
      </c>
      <c r="E371" s="76">
        <v>73</v>
      </c>
      <c r="F371" s="76">
        <v>73</v>
      </c>
      <c r="G371" s="76">
        <v>73</v>
      </c>
    </row>
    <row r="372" spans="1:7" ht="12.75">
      <c r="A372" s="4" t="s">
        <v>218</v>
      </c>
      <c r="B372" s="3" t="s">
        <v>9</v>
      </c>
      <c r="C372" s="76">
        <v>2</v>
      </c>
      <c r="D372" s="76">
        <v>2</v>
      </c>
      <c r="E372" s="76">
        <v>2</v>
      </c>
      <c r="F372" s="76">
        <v>2</v>
      </c>
      <c r="G372" s="76">
        <v>2</v>
      </c>
    </row>
    <row r="373" spans="1:7" ht="12.75">
      <c r="A373" s="48" t="s">
        <v>219</v>
      </c>
      <c r="B373" s="3" t="s">
        <v>152</v>
      </c>
      <c r="C373" s="76">
        <v>63</v>
      </c>
      <c r="D373" s="76">
        <v>63</v>
      </c>
      <c r="E373" s="76">
        <v>63</v>
      </c>
      <c r="F373" s="76">
        <v>63</v>
      </c>
      <c r="G373" s="76">
        <v>63</v>
      </c>
    </row>
    <row r="374" spans="1:7" ht="12.75">
      <c r="A374" s="48" t="s">
        <v>220</v>
      </c>
      <c r="B374" s="3" t="s">
        <v>152</v>
      </c>
      <c r="C374" s="76">
        <v>183</v>
      </c>
      <c r="D374" s="76">
        <v>185</v>
      </c>
      <c r="E374" s="76">
        <v>187</v>
      </c>
      <c r="F374" s="76">
        <v>189</v>
      </c>
      <c r="G374" s="76">
        <v>191</v>
      </c>
    </row>
    <row r="375" spans="1:7" ht="12.75">
      <c r="A375" s="36" t="s">
        <v>221</v>
      </c>
      <c r="B375" s="93" t="s">
        <v>9</v>
      </c>
      <c r="C375" s="57"/>
      <c r="D375" s="57"/>
      <c r="E375" s="57"/>
      <c r="F375" s="57"/>
      <c r="G375" s="57"/>
    </row>
    <row r="376" spans="1:7" ht="12.75">
      <c r="A376" s="103" t="s">
        <v>207</v>
      </c>
      <c r="B376" s="93" t="s">
        <v>9</v>
      </c>
      <c r="C376" s="47"/>
      <c r="D376" s="47"/>
      <c r="E376" s="47"/>
      <c r="F376" s="47"/>
      <c r="G376" s="47"/>
    </row>
    <row r="377" spans="1:7" ht="12.75">
      <c r="A377" s="103" t="s">
        <v>208</v>
      </c>
      <c r="B377" s="93" t="s">
        <v>9</v>
      </c>
      <c r="C377" s="47"/>
      <c r="D377" s="47"/>
      <c r="E377" s="47"/>
      <c r="F377" s="47"/>
      <c r="G377" s="47"/>
    </row>
    <row r="378" spans="1:7" ht="12.75">
      <c r="A378" s="103" t="s">
        <v>209</v>
      </c>
      <c r="B378" s="93"/>
      <c r="C378" s="47"/>
      <c r="D378" s="47"/>
      <c r="E378" s="47"/>
      <c r="F378" s="47"/>
      <c r="G378" s="47"/>
    </row>
    <row r="379" spans="1:7" ht="12.75">
      <c r="A379" s="53"/>
      <c r="B379" s="3"/>
      <c r="C379" s="47"/>
      <c r="D379" s="47"/>
      <c r="E379" s="47"/>
      <c r="F379" s="47"/>
      <c r="G379" s="47"/>
    </row>
    <row r="380" spans="1:7" ht="12.75">
      <c r="A380" s="4" t="s">
        <v>222</v>
      </c>
      <c r="B380" s="3" t="s">
        <v>9</v>
      </c>
      <c r="C380" s="57"/>
      <c r="D380" s="57"/>
      <c r="E380" s="57"/>
      <c r="F380" s="57"/>
      <c r="G380" s="57"/>
    </row>
    <row r="381" spans="1:7" ht="12.75">
      <c r="A381" s="4" t="s">
        <v>211</v>
      </c>
      <c r="B381" s="3" t="s">
        <v>9</v>
      </c>
      <c r="C381" s="58"/>
      <c r="D381" s="58"/>
      <c r="E381" s="58"/>
      <c r="F381" s="58"/>
      <c r="G381" s="58"/>
    </row>
    <row r="382" spans="1:7" ht="12.75">
      <c r="A382" s="4" t="s">
        <v>208</v>
      </c>
      <c r="B382" s="3" t="s">
        <v>9</v>
      </c>
      <c r="C382" s="58"/>
      <c r="D382" s="58"/>
      <c r="E382" s="58"/>
      <c r="F382" s="58"/>
      <c r="G382" s="58"/>
    </row>
    <row r="383" spans="1:7" ht="12.75">
      <c r="A383" s="53" t="s">
        <v>209</v>
      </c>
      <c r="B383" s="3"/>
      <c r="C383" s="58"/>
      <c r="D383" s="58"/>
      <c r="E383" s="58"/>
      <c r="F383" s="58"/>
      <c r="G383" s="58"/>
    </row>
    <row r="384" spans="1:7" ht="12.75">
      <c r="A384" s="4"/>
      <c r="B384" s="3"/>
      <c r="C384" s="58"/>
      <c r="D384" s="58"/>
      <c r="E384" s="58"/>
      <c r="F384" s="58"/>
      <c r="G384" s="58"/>
    </row>
    <row r="385" spans="1:7" ht="12.75">
      <c r="A385" s="51" t="s">
        <v>223</v>
      </c>
      <c r="B385" s="3"/>
      <c r="C385" s="57"/>
      <c r="D385" s="57"/>
      <c r="E385" s="57"/>
      <c r="F385" s="57"/>
      <c r="G385" s="57"/>
    </row>
    <row r="386" spans="1:7" ht="12.75">
      <c r="A386" s="51"/>
      <c r="B386" s="3"/>
      <c r="C386" s="57"/>
      <c r="D386" s="57"/>
      <c r="E386" s="57"/>
      <c r="F386" s="57"/>
      <c r="G386" s="57"/>
    </row>
    <row r="387" spans="1:7" ht="25.5">
      <c r="A387" s="49" t="s">
        <v>224</v>
      </c>
      <c r="B387" s="3" t="s">
        <v>9</v>
      </c>
      <c r="C387" s="57"/>
      <c r="D387" s="57"/>
      <c r="E387" s="57"/>
      <c r="F387" s="57"/>
      <c r="G387" s="57"/>
    </row>
    <row r="388" spans="1:7" ht="12.75">
      <c r="A388" s="49"/>
      <c r="B388" s="3" t="s">
        <v>154</v>
      </c>
      <c r="C388" s="57"/>
      <c r="D388" s="57"/>
      <c r="E388" s="57"/>
      <c r="F388" s="57"/>
      <c r="G388" s="57"/>
    </row>
    <row r="389" spans="1:7" ht="25.5">
      <c r="A389" s="49" t="s">
        <v>225</v>
      </c>
      <c r="B389" s="3" t="s">
        <v>9</v>
      </c>
      <c r="C389" s="57"/>
      <c r="D389" s="57"/>
      <c r="E389" s="57"/>
      <c r="F389" s="57"/>
      <c r="G389" s="57"/>
    </row>
    <row r="390" spans="1:7" ht="12.75">
      <c r="A390" s="49"/>
      <c r="B390" s="3" t="s">
        <v>154</v>
      </c>
      <c r="C390" s="57"/>
      <c r="D390" s="57"/>
      <c r="E390" s="57"/>
      <c r="F390" s="57"/>
      <c r="G390" s="57"/>
    </row>
    <row r="391" spans="1:7" ht="25.5">
      <c r="A391" s="49" t="s">
        <v>226</v>
      </c>
      <c r="B391" s="3" t="s">
        <v>9</v>
      </c>
      <c r="C391" s="76">
        <v>0</v>
      </c>
      <c r="D391" s="76">
        <v>1</v>
      </c>
      <c r="E391" s="76">
        <v>1</v>
      </c>
      <c r="F391" s="76">
        <v>1</v>
      </c>
      <c r="G391" s="76">
        <v>1</v>
      </c>
    </row>
    <row r="392" spans="1:7" ht="12.75">
      <c r="A392" s="49" t="s">
        <v>227</v>
      </c>
      <c r="B392" s="3" t="s">
        <v>154</v>
      </c>
      <c r="C392" s="76"/>
      <c r="D392" s="76">
        <v>15</v>
      </c>
      <c r="E392" s="76">
        <v>15</v>
      </c>
      <c r="F392" s="76">
        <v>15</v>
      </c>
      <c r="G392" s="76">
        <v>15</v>
      </c>
    </row>
    <row r="393" spans="1:7" ht="12.75">
      <c r="A393" s="49" t="s">
        <v>228</v>
      </c>
      <c r="B393" s="3" t="s">
        <v>154</v>
      </c>
      <c r="C393" s="76"/>
      <c r="D393" s="76">
        <v>20</v>
      </c>
      <c r="E393" s="76">
        <v>20</v>
      </c>
      <c r="F393" s="76">
        <v>20</v>
      </c>
      <c r="G393" s="76">
        <v>20</v>
      </c>
    </row>
    <row r="394" spans="1:7" ht="25.5">
      <c r="A394" s="49" t="s">
        <v>229</v>
      </c>
      <c r="B394" s="3" t="s">
        <v>9</v>
      </c>
      <c r="C394" s="57"/>
      <c r="D394" s="57"/>
      <c r="E394" s="57"/>
      <c r="F394" s="57"/>
      <c r="G394" s="57"/>
    </row>
    <row r="395" spans="1:7" ht="12.75">
      <c r="A395" s="49" t="s">
        <v>227</v>
      </c>
      <c r="B395" s="3" t="s">
        <v>154</v>
      </c>
      <c r="C395" s="57"/>
      <c r="D395" s="57"/>
      <c r="E395" s="57"/>
      <c r="F395" s="57"/>
      <c r="G395" s="57"/>
    </row>
    <row r="396" spans="1:7" ht="12.75">
      <c r="A396" s="49" t="s">
        <v>228</v>
      </c>
      <c r="B396" s="3" t="s">
        <v>154</v>
      </c>
      <c r="C396" s="57"/>
      <c r="D396" s="57"/>
      <c r="E396" s="57"/>
      <c r="F396" s="57"/>
      <c r="G396" s="57"/>
    </row>
    <row r="397" spans="1:7" ht="30" customHeight="1">
      <c r="A397" s="49" t="s">
        <v>230</v>
      </c>
      <c r="B397" s="3" t="s">
        <v>9</v>
      </c>
      <c r="C397" s="57"/>
      <c r="D397" s="57"/>
      <c r="E397" s="57"/>
      <c r="F397" s="57"/>
      <c r="G397" s="57"/>
    </row>
    <row r="398" spans="1:7" ht="12.75">
      <c r="A398" s="49" t="s">
        <v>227</v>
      </c>
      <c r="B398" s="3" t="s">
        <v>154</v>
      </c>
      <c r="C398" s="57"/>
      <c r="D398" s="57"/>
      <c r="E398" s="57"/>
      <c r="F398" s="57"/>
      <c r="G398" s="57"/>
    </row>
    <row r="399" spans="1:7" ht="12.75">
      <c r="A399" s="49" t="s">
        <v>228</v>
      </c>
      <c r="B399" s="3" t="s">
        <v>154</v>
      </c>
      <c r="C399" s="57"/>
      <c r="D399" s="57"/>
      <c r="E399" s="57"/>
      <c r="F399" s="57"/>
      <c r="G399" s="57"/>
    </row>
    <row r="400" spans="1:7" ht="12.75">
      <c r="A400" s="49" t="s">
        <v>231</v>
      </c>
      <c r="B400" s="3" t="s">
        <v>9</v>
      </c>
      <c r="C400" s="57"/>
      <c r="D400" s="57"/>
      <c r="E400" s="57"/>
      <c r="F400" s="57"/>
      <c r="G400" s="57"/>
    </row>
    <row r="401" spans="1:7" ht="12.75">
      <c r="A401" s="49" t="s">
        <v>227</v>
      </c>
      <c r="B401" s="3" t="s">
        <v>154</v>
      </c>
      <c r="C401" s="57"/>
      <c r="D401" s="57"/>
      <c r="E401" s="57"/>
      <c r="F401" s="57"/>
      <c r="G401" s="57"/>
    </row>
    <row r="402" spans="1:7" ht="12.75">
      <c r="A402" s="49" t="s">
        <v>228</v>
      </c>
      <c r="B402" s="3" t="s">
        <v>154</v>
      </c>
      <c r="C402" s="57"/>
      <c r="D402" s="57"/>
      <c r="E402" s="57"/>
      <c r="F402" s="57"/>
      <c r="G402" s="57"/>
    </row>
    <row r="403" spans="1:7" ht="25.5">
      <c r="A403" s="49" t="s">
        <v>232</v>
      </c>
      <c r="B403" s="93" t="s">
        <v>233</v>
      </c>
      <c r="C403" s="124">
        <v>22.1</v>
      </c>
      <c r="D403" s="124">
        <v>22.8</v>
      </c>
      <c r="E403" s="124">
        <v>23.6</v>
      </c>
      <c r="F403" s="124">
        <v>24.4</v>
      </c>
      <c r="G403" s="124">
        <v>25</v>
      </c>
    </row>
    <row r="404" spans="1:7" ht="12.75">
      <c r="A404" s="49"/>
      <c r="B404" s="3"/>
      <c r="C404" s="57"/>
      <c r="D404" s="57"/>
      <c r="E404" s="57"/>
      <c r="F404" s="57"/>
      <c r="G404" s="57"/>
    </row>
    <row r="405" spans="1:7" ht="12.75">
      <c r="A405" s="4" t="s">
        <v>234</v>
      </c>
      <c r="B405" s="3"/>
      <c r="C405" s="57"/>
      <c r="D405" s="57"/>
      <c r="E405" s="57"/>
      <c r="F405" s="57"/>
      <c r="G405" s="57"/>
    </row>
    <row r="406" spans="1:7" ht="12.75">
      <c r="A406" s="53" t="s">
        <v>167</v>
      </c>
      <c r="B406" s="3" t="s">
        <v>9</v>
      </c>
      <c r="C406" s="47"/>
      <c r="D406" s="47"/>
      <c r="E406" s="47"/>
      <c r="F406" s="47"/>
      <c r="G406" s="47"/>
    </row>
    <row r="407" spans="1:7" ht="12.75">
      <c r="A407" s="53" t="s">
        <v>249</v>
      </c>
      <c r="B407" s="3" t="s">
        <v>9</v>
      </c>
      <c r="C407" s="70">
        <v>1</v>
      </c>
      <c r="D407" s="47"/>
      <c r="E407" s="47"/>
      <c r="F407" s="47"/>
      <c r="G407" s="47"/>
    </row>
    <row r="408" spans="1:7" ht="12.75">
      <c r="A408" s="49" t="s">
        <v>248</v>
      </c>
      <c r="B408" s="3"/>
      <c r="C408" s="47"/>
      <c r="D408" s="47"/>
      <c r="E408" s="47"/>
      <c r="F408" s="47"/>
      <c r="G408" s="47"/>
    </row>
    <row r="409" spans="1:7" ht="12.75">
      <c r="A409" s="53"/>
      <c r="B409" s="3"/>
      <c r="C409" s="47"/>
      <c r="D409" s="47"/>
      <c r="E409" s="47"/>
      <c r="F409" s="47"/>
      <c r="G409" s="47"/>
    </row>
    <row r="410" spans="1:7" ht="12.75">
      <c r="A410" s="11" t="s">
        <v>104</v>
      </c>
      <c r="B410" s="3"/>
      <c r="C410" s="47"/>
      <c r="D410" s="47"/>
      <c r="E410" s="47"/>
      <c r="F410" s="47"/>
      <c r="G410" s="47"/>
    </row>
    <row r="411" spans="1:7" ht="36">
      <c r="A411" s="63" t="s">
        <v>90</v>
      </c>
      <c r="B411" s="10" t="s">
        <v>91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ht="12.75">
      <c r="A412" s="4"/>
      <c r="B412" s="3"/>
      <c r="C412" s="57"/>
      <c r="D412" s="57"/>
      <c r="E412" s="57"/>
      <c r="F412" s="57"/>
      <c r="G412" s="57"/>
    </row>
    <row r="413" spans="1:7" ht="12.75">
      <c r="A413" s="4" t="s">
        <v>235</v>
      </c>
      <c r="B413" s="3"/>
      <c r="C413" s="57"/>
      <c r="D413" s="57"/>
      <c r="E413" s="57"/>
      <c r="F413" s="57"/>
      <c r="G413" s="57"/>
    </row>
    <row r="414" spans="1:7" ht="12.75">
      <c r="A414" s="4" t="s">
        <v>236</v>
      </c>
      <c r="B414" s="3" t="s">
        <v>9</v>
      </c>
      <c r="C414" s="58"/>
      <c r="D414" s="58"/>
      <c r="E414" s="58"/>
      <c r="F414" s="58"/>
      <c r="G414" s="58"/>
    </row>
    <row r="415" spans="1:7" ht="12.75">
      <c r="A415" s="4" t="s">
        <v>250</v>
      </c>
      <c r="B415" s="3" t="s">
        <v>9</v>
      </c>
      <c r="C415" s="76">
        <v>1</v>
      </c>
      <c r="D415" s="58"/>
      <c r="E415" s="58"/>
      <c r="F415" s="58"/>
      <c r="G415" s="58"/>
    </row>
    <row r="416" spans="1:7" ht="12.75">
      <c r="A416" s="53" t="s">
        <v>246</v>
      </c>
      <c r="B416" s="3"/>
      <c r="C416" s="58"/>
      <c r="D416" s="58"/>
      <c r="E416" s="58"/>
      <c r="F416" s="58"/>
      <c r="G416" s="58"/>
    </row>
    <row r="417" spans="1:7" ht="12.75">
      <c r="A417" s="53" t="s">
        <v>247</v>
      </c>
      <c r="B417" s="3"/>
      <c r="C417" s="58"/>
      <c r="D417" s="58"/>
      <c r="E417" s="58"/>
      <c r="F417" s="58"/>
      <c r="G417" s="58"/>
    </row>
    <row r="418" spans="1:7" ht="12.75">
      <c r="A418" s="4"/>
      <c r="B418" s="3"/>
      <c r="C418" s="57"/>
      <c r="D418" s="57"/>
      <c r="E418" s="57"/>
      <c r="F418" s="57"/>
      <c r="G418" s="57"/>
    </row>
    <row r="419" spans="1:7" ht="12.75">
      <c r="A419" s="48"/>
      <c r="B419" s="3"/>
      <c r="C419" s="57"/>
      <c r="D419" s="57"/>
      <c r="E419" s="57"/>
      <c r="F419" s="57"/>
      <c r="G419" s="57"/>
    </row>
    <row r="420" ht="12.75" customHeight="1"/>
    <row r="421" ht="12.75" customHeight="1"/>
    <row r="422" ht="12.75" customHeight="1"/>
    <row r="423" spans="1:7" ht="12.75">
      <c r="A423" s="64"/>
      <c r="B423" s="65"/>
      <c r="C423" s="64"/>
      <c r="D423" s="64"/>
      <c r="E423" s="64"/>
      <c r="F423" s="64"/>
      <c r="G423" s="64"/>
    </row>
    <row r="424" spans="1:7" ht="12.75">
      <c r="A424" s="64"/>
      <c r="B424" s="65"/>
      <c r="D424" s="66"/>
      <c r="F424" s="64"/>
      <c r="G424" s="64"/>
    </row>
  </sheetData>
  <mergeCells count="6">
    <mergeCell ref="A1:G1"/>
    <mergeCell ref="A2:G2"/>
    <mergeCell ref="A5:A6"/>
    <mergeCell ref="B5:B6"/>
    <mergeCell ref="B4:H4"/>
    <mergeCell ref="A3:G3"/>
  </mergeCells>
  <printOptions horizontalCentered="1"/>
  <pageMargins left="0.5905511811023623" right="0.5905511811023623" top="0.984251968503937" bottom="0.5905511811023623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запроса для районов на прогноз на 1997 год</dc:title>
  <dc:subject>Прогноз</dc:subject>
  <dc:creator>Михаил Чувелев</dc:creator>
  <cp:keywords>прогноз, запрос, районы</cp:keywords>
  <dc:description/>
  <cp:lastModifiedBy>D-SNV</cp:lastModifiedBy>
  <cp:lastPrinted>2008-12-01T06:26:14Z</cp:lastPrinted>
  <dcterms:created xsi:type="dcterms:W3CDTF">1996-06-10T04:25:01Z</dcterms:created>
  <dcterms:modified xsi:type="dcterms:W3CDTF">2008-12-01T06:26:16Z</dcterms:modified>
  <cp:category/>
  <cp:version/>
  <cp:contentType/>
  <cp:contentStatus/>
</cp:coreProperties>
</file>